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ly\OneDrive\Desktop\budgets\"/>
    </mc:Choice>
  </mc:AlternateContent>
  <xr:revisionPtr revIDLastSave="0" documentId="13_ncr:1_{6C9E7CFF-6EDC-4E50-8EC5-DEF493B48F1F}" xr6:coauthVersionLast="47" xr6:coauthVersionMax="47" xr10:uidLastSave="{00000000-0000-0000-0000-000000000000}"/>
  <bookViews>
    <workbookView xWindow="1470" yWindow="390" windowWidth="14320" windowHeight="8380" xr2:uid="{00000000-000D-0000-FFFF-FFFF00000000}"/>
  </bookViews>
  <sheets>
    <sheet name="Operating" sheetId="1" r:id="rId1"/>
    <sheet name="Sheet1" sheetId="6" r:id="rId2"/>
    <sheet name="Reserve Expenditures" sheetId="2" r:id="rId3"/>
    <sheet name="Cash Flow Funding - SIRS" sheetId="3" r:id="rId4"/>
    <sheet name="Cash Flow Funding - NonSIRS" sheetId="4" r:id="rId5"/>
    <sheet name="Operational Reserves Items" sheetId="5" r:id="rId6"/>
  </sheets>
  <externalReferences>
    <externalReference r:id="rId7"/>
  </externalReferences>
  <definedNames>
    <definedName name="CF_1_Appendix">'[1]Cash Flow 1'!$D$61</definedName>
    <definedName name="current_fy">[1]Info!$B$9</definedName>
    <definedName name="first_year_of_rec">'[1]Cash Flow 1'!$N$39</definedName>
    <definedName name="FY_start">'[1]Cash Flow 1'!$D$48</definedName>
    <definedName name="Res_Bal_Date">[1]Info!$C$10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1" i="5" l="1"/>
  <c r="AI32" i="5"/>
  <c r="AH32" i="5"/>
  <c r="F27" i="1"/>
  <c r="D63" i="1"/>
  <c r="E63" i="1"/>
  <c r="C63" i="1"/>
  <c r="C24" i="5" l="1"/>
  <c r="C25" i="5"/>
  <c r="C26" i="5"/>
  <c r="C27" i="5"/>
  <c r="C28" i="5"/>
  <c r="C29" i="5"/>
  <c r="C30" i="5"/>
  <c r="C31" i="5"/>
  <c r="C23" i="5"/>
  <c r="F57" i="1"/>
  <c r="F50" i="1"/>
  <c r="F29" i="1"/>
  <c r="I39" i="5" l="1"/>
  <c r="J35" i="5" s="1"/>
  <c r="AK38" i="5"/>
  <c r="AJ38" i="5"/>
  <c r="AG38" i="5"/>
  <c r="AF38" i="5"/>
  <c r="AD38" i="5"/>
  <c r="Z38" i="5"/>
  <c r="W38" i="5"/>
  <c r="U38" i="5"/>
  <c r="T38" i="5"/>
  <c r="Q38" i="5"/>
  <c r="M38" i="5"/>
  <c r="L38" i="5"/>
  <c r="K38" i="5"/>
  <c r="K36" i="5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AH36" i="5" s="1"/>
  <c r="AI36" i="5" s="1"/>
  <c r="AJ36" i="5" s="1"/>
  <c r="AK36" i="5" s="1"/>
  <c r="AL36" i="5" s="1"/>
  <c r="AM36" i="5" s="1"/>
  <c r="AA32" i="5"/>
  <c r="AA38" i="5" s="1"/>
  <c r="D31" i="5"/>
  <c r="D30" i="5"/>
  <c r="E30" i="5" s="1"/>
  <c r="F30" i="5" s="1"/>
  <c r="G30" i="5" s="1"/>
  <c r="H30" i="5" s="1"/>
  <c r="E29" i="5"/>
  <c r="F29" i="5" s="1"/>
  <c r="G29" i="5" s="1"/>
  <c r="H29" i="5" s="1"/>
  <c r="D29" i="5"/>
  <c r="D28" i="5"/>
  <c r="E28" i="5" s="1"/>
  <c r="F28" i="5" s="1"/>
  <c r="G28" i="5" s="1"/>
  <c r="H28" i="5" s="1"/>
  <c r="E27" i="5"/>
  <c r="F27" i="5" s="1"/>
  <c r="G27" i="5" s="1"/>
  <c r="H27" i="5" s="1"/>
  <c r="D27" i="5"/>
  <c r="D26" i="5"/>
  <c r="E26" i="5" s="1"/>
  <c r="F26" i="5" s="1"/>
  <c r="G26" i="5" s="1"/>
  <c r="H26" i="5" s="1"/>
  <c r="E25" i="5"/>
  <c r="F25" i="5" s="1"/>
  <c r="G25" i="5" s="1"/>
  <c r="H25" i="5" s="1"/>
  <c r="D25" i="5"/>
  <c r="D24" i="5"/>
  <c r="E24" i="5" s="1"/>
  <c r="F24" i="5" s="1"/>
  <c r="G24" i="5" s="1"/>
  <c r="H24" i="5" s="1"/>
  <c r="E23" i="5"/>
  <c r="F23" i="5" s="1"/>
  <c r="G23" i="5" s="1"/>
  <c r="H23" i="5" s="1"/>
  <c r="D23" i="5"/>
  <c r="K22" i="5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L20" i="5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AM20" i="5" s="1"/>
  <c r="K20" i="5"/>
  <c r="M16" i="5"/>
  <c r="O16" i="5" s="1"/>
  <c r="Q16" i="5" s="1"/>
  <c r="S16" i="5" s="1"/>
  <c r="U16" i="5" s="1"/>
  <c r="J16" i="5"/>
  <c r="I31" i="5" s="1"/>
  <c r="J31" i="5" s="1"/>
  <c r="K31" i="5" s="1"/>
  <c r="L31" i="5" s="1"/>
  <c r="M31" i="5" s="1"/>
  <c r="N31" i="5" s="1"/>
  <c r="O15" i="5"/>
  <c r="Q15" i="5" s="1"/>
  <c r="S15" i="5" s="1"/>
  <c r="U15" i="5" s="1"/>
  <c r="M15" i="5"/>
  <c r="J15" i="5"/>
  <c r="I30" i="5" s="1"/>
  <c r="J30" i="5" s="1"/>
  <c r="K30" i="5" s="1"/>
  <c r="L30" i="5" s="1"/>
  <c r="M30" i="5" s="1"/>
  <c r="N30" i="5" s="1"/>
  <c r="O30" i="5" s="1"/>
  <c r="N14" i="5"/>
  <c r="P14" i="5" s="1"/>
  <c r="R14" i="5" s="1"/>
  <c r="T14" i="5" s="1"/>
  <c r="V14" i="5" s="1"/>
  <c r="M14" i="5"/>
  <c r="O14" i="5" s="1"/>
  <c r="Q14" i="5" s="1"/>
  <c r="S14" i="5" s="1"/>
  <c r="U14" i="5" s="1"/>
  <c r="J14" i="5"/>
  <c r="I29" i="5" s="1"/>
  <c r="J29" i="5" s="1"/>
  <c r="N13" i="5"/>
  <c r="P13" i="5" s="1"/>
  <c r="R13" i="5" s="1"/>
  <c r="T13" i="5" s="1"/>
  <c r="V13" i="5" s="1"/>
  <c r="M13" i="5"/>
  <c r="O13" i="5" s="1"/>
  <c r="Q13" i="5" s="1"/>
  <c r="S13" i="5" s="1"/>
  <c r="U13" i="5" s="1"/>
  <c r="J13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G28" i="5" s="1"/>
  <c r="AH28" i="5" s="1"/>
  <c r="AI28" i="5" s="1"/>
  <c r="AJ28" i="5" s="1"/>
  <c r="AK28" i="5" s="1"/>
  <c r="AL28" i="5" s="1"/>
  <c r="AM28" i="5" s="1"/>
  <c r="M12" i="5"/>
  <c r="O12" i="5" s="1"/>
  <c r="Q12" i="5" s="1"/>
  <c r="S12" i="5" s="1"/>
  <c r="U12" i="5" s="1"/>
  <c r="J12" i="5"/>
  <c r="O11" i="5"/>
  <c r="Q11" i="5" s="1"/>
  <c r="S11" i="5" s="1"/>
  <c r="U11" i="5" s="1"/>
  <c r="M11" i="5"/>
  <c r="J11" i="5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AA26" i="5" s="1"/>
  <c r="AB26" i="5" s="1"/>
  <c r="AC26" i="5" s="1"/>
  <c r="AD26" i="5" s="1"/>
  <c r="AE26" i="5" s="1"/>
  <c r="AF26" i="5" s="1"/>
  <c r="AG26" i="5" s="1"/>
  <c r="AH26" i="5" s="1"/>
  <c r="AI26" i="5" s="1"/>
  <c r="AJ26" i="5" s="1"/>
  <c r="AK26" i="5" s="1"/>
  <c r="AL26" i="5" s="1"/>
  <c r="AM26" i="5" s="1"/>
  <c r="O10" i="5"/>
  <c r="Q10" i="5" s="1"/>
  <c r="S10" i="5" s="1"/>
  <c r="U10" i="5" s="1"/>
  <c r="N10" i="5"/>
  <c r="P10" i="5" s="1"/>
  <c r="R10" i="5" s="1"/>
  <c r="T10" i="5" s="1"/>
  <c r="V10" i="5" s="1"/>
  <c r="M10" i="5"/>
  <c r="J10" i="5"/>
  <c r="I25" i="5" s="1"/>
  <c r="J25" i="5" s="1"/>
  <c r="K25" i="5" s="1"/>
  <c r="L25" i="5" s="1"/>
  <c r="M25" i="5" s="1"/>
  <c r="N25" i="5" s="1"/>
  <c r="O25" i="5" s="1"/>
  <c r="P25" i="5" s="1"/>
  <c r="Q25" i="5" s="1"/>
  <c r="R25" i="5" s="1"/>
  <c r="Q9" i="5"/>
  <c r="S9" i="5" s="1"/>
  <c r="U9" i="5" s="1"/>
  <c r="M9" i="5"/>
  <c r="O9" i="5" s="1"/>
  <c r="J9" i="5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M8" i="5"/>
  <c r="O8" i="5" s="1"/>
  <c r="Q8" i="5" s="1"/>
  <c r="S8" i="5" s="1"/>
  <c r="U8" i="5" s="1"/>
  <c r="J8" i="5"/>
  <c r="P30" i="5" l="1"/>
  <c r="Q30" i="5" s="1"/>
  <c r="R30" i="5" s="1"/>
  <c r="S30" i="5" s="1"/>
  <c r="T30" i="5" s="1"/>
  <c r="U30" i="5" s="1"/>
  <c r="V30" i="5" s="1"/>
  <c r="W30" i="5" s="1"/>
  <c r="X30" i="5" s="1"/>
  <c r="Y30" i="5" s="1"/>
  <c r="O32" i="5"/>
  <c r="O38" i="5" s="1"/>
  <c r="I23" i="5"/>
  <c r="J23" i="5" s="1"/>
  <c r="K23" i="5" s="1"/>
  <c r="L23" i="5" s="1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AD23" i="5" s="1"/>
  <c r="AE23" i="5" s="1"/>
  <c r="AF23" i="5" s="1"/>
  <c r="AG23" i="5" s="1"/>
  <c r="AH23" i="5" s="1"/>
  <c r="AI23" i="5" s="1"/>
  <c r="AJ23" i="5" s="1"/>
  <c r="AK23" i="5" s="1"/>
  <c r="AL23" i="5" s="1"/>
  <c r="AM23" i="5" s="1"/>
  <c r="N8" i="5"/>
  <c r="P8" i="5" s="1"/>
  <c r="R8" i="5" s="1"/>
  <c r="T8" i="5" s="1"/>
  <c r="V8" i="5" s="1"/>
  <c r="S25" i="5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R32" i="5"/>
  <c r="R38" i="5" s="1"/>
  <c r="I27" i="5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Y27" i="5" s="1"/>
  <c r="Z27" i="5" s="1"/>
  <c r="AA27" i="5" s="1"/>
  <c r="AB27" i="5" s="1"/>
  <c r="AC27" i="5" s="1"/>
  <c r="AD27" i="5" s="1"/>
  <c r="AE27" i="5" s="1"/>
  <c r="AF27" i="5" s="1"/>
  <c r="AG27" i="5" s="1"/>
  <c r="AH27" i="5" s="1"/>
  <c r="AI27" i="5" s="1"/>
  <c r="AJ27" i="5" s="1"/>
  <c r="AK27" i="5" s="1"/>
  <c r="AL27" i="5" s="1"/>
  <c r="AM27" i="5" s="1"/>
  <c r="N12" i="5"/>
  <c r="P12" i="5" s="1"/>
  <c r="R12" i="5" s="1"/>
  <c r="T12" i="5" s="1"/>
  <c r="V12" i="5" s="1"/>
  <c r="N32" i="5"/>
  <c r="N38" i="5" s="1"/>
  <c r="O31" i="5"/>
  <c r="P31" i="5" s="1"/>
  <c r="Q31" i="5" s="1"/>
  <c r="R31" i="5" s="1"/>
  <c r="S31" i="5" s="1"/>
  <c r="S32" i="5" s="1"/>
  <c r="AF24" i="5"/>
  <c r="AG24" i="5" s="1"/>
  <c r="AH24" i="5" s="1"/>
  <c r="AI24" i="5" s="1"/>
  <c r="AJ24" i="5" s="1"/>
  <c r="AK24" i="5" s="1"/>
  <c r="AL24" i="5" s="1"/>
  <c r="AM24" i="5" s="1"/>
  <c r="AE32" i="5"/>
  <c r="AE38" i="5" s="1"/>
  <c r="J32" i="5"/>
  <c r="K29" i="5"/>
  <c r="L29" i="5" s="1"/>
  <c r="M29" i="5" s="1"/>
  <c r="N29" i="5" s="1"/>
  <c r="O29" i="5" s="1"/>
  <c r="P29" i="5" s="1"/>
  <c r="J37" i="5"/>
  <c r="N15" i="5"/>
  <c r="P15" i="5" s="1"/>
  <c r="R15" i="5" s="1"/>
  <c r="T15" i="5" s="1"/>
  <c r="V15" i="5" s="1"/>
  <c r="N16" i="5"/>
  <c r="P16" i="5" s="1"/>
  <c r="R16" i="5" s="1"/>
  <c r="T16" i="5" s="1"/>
  <c r="V16" i="5" s="1"/>
  <c r="N11" i="5"/>
  <c r="P11" i="5" s="1"/>
  <c r="R11" i="5" s="1"/>
  <c r="T11" i="5" s="1"/>
  <c r="V11" i="5" s="1"/>
  <c r="N9" i="5"/>
  <c r="P9" i="5" s="1"/>
  <c r="R9" i="5" s="1"/>
  <c r="T9" i="5" s="1"/>
  <c r="V9" i="5" s="1"/>
  <c r="Q29" i="5" l="1"/>
  <c r="R29" i="5" s="1"/>
  <c r="S29" i="5" s="1"/>
  <c r="T29" i="5" s="1"/>
  <c r="U29" i="5" s="1"/>
  <c r="V29" i="5" s="1"/>
  <c r="V32" i="5" s="1"/>
  <c r="P32" i="5"/>
  <c r="P38" i="5" s="1"/>
  <c r="AL32" i="5"/>
  <c r="AL38" i="5" s="1"/>
  <c r="AM25" i="5"/>
  <c r="J38" i="5"/>
  <c r="S38" i="5"/>
  <c r="T31" i="5"/>
  <c r="U31" i="5" s="1"/>
  <c r="V31" i="5" s="1"/>
  <c r="W31" i="5" s="1"/>
  <c r="X31" i="5" s="1"/>
  <c r="Y32" i="5"/>
  <c r="Y38" i="5" s="1"/>
  <c r="Z30" i="5"/>
  <c r="AA30" i="5" s="1"/>
  <c r="AB30" i="5" s="1"/>
  <c r="AC30" i="5" s="1"/>
  <c r="AD30" i="5" s="1"/>
  <c r="AE30" i="5" s="1"/>
  <c r="AF30" i="5" s="1"/>
  <c r="AG30" i="5" s="1"/>
  <c r="AH30" i="5" s="1"/>
  <c r="AI30" i="5" s="1"/>
  <c r="AI38" i="5" l="1"/>
  <c r="AJ30" i="5"/>
  <c r="AK30" i="5" s="1"/>
  <c r="AL30" i="5" s="1"/>
  <c r="AM30" i="5" s="1"/>
  <c r="V38" i="5"/>
  <c r="W29" i="5"/>
  <c r="X29" i="5" s="1"/>
  <c r="Y29" i="5" s="1"/>
  <c r="Z29" i="5" s="1"/>
  <c r="AA29" i="5" s="1"/>
  <c r="AB29" i="5" s="1"/>
  <c r="Y31" i="5"/>
  <c r="Z31" i="5" s="1"/>
  <c r="AA31" i="5" s="1"/>
  <c r="AB31" i="5" s="1"/>
  <c r="AC31" i="5" s="1"/>
  <c r="X32" i="5"/>
  <c r="X38" i="5" s="1"/>
  <c r="J39" i="5"/>
  <c r="K35" i="5" s="1"/>
  <c r="AD31" i="5" l="1"/>
  <c r="AE31" i="5" s="1"/>
  <c r="AF31" i="5" s="1"/>
  <c r="AG31" i="5" s="1"/>
  <c r="AH31" i="5" s="1"/>
  <c r="AC32" i="5"/>
  <c r="AC38" i="5" s="1"/>
  <c r="K37" i="5"/>
  <c r="K39" i="5" s="1"/>
  <c r="L35" i="5" s="1"/>
  <c r="AC29" i="5"/>
  <c r="AD29" i="5" s="1"/>
  <c r="AE29" i="5" s="1"/>
  <c r="AF29" i="5" s="1"/>
  <c r="AG29" i="5" s="1"/>
  <c r="AH29" i="5" s="1"/>
  <c r="AI29" i="5" s="1"/>
  <c r="AJ29" i="5" s="1"/>
  <c r="AK29" i="5" s="1"/>
  <c r="AL29" i="5" s="1"/>
  <c r="AM29" i="5" s="1"/>
  <c r="AB32" i="5"/>
  <c r="AB38" i="5" s="1"/>
  <c r="AH38" i="5" l="1"/>
  <c r="AI31" i="5"/>
  <c r="AJ31" i="5" s="1"/>
  <c r="AK31" i="5" s="1"/>
  <c r="AL31" i="5" s="1"/>
  <c r="AM32" i="5" s="1"/>
  <c r="AM38" i="5" s="1"/>
  <c r="L37" i="5"/>
  <c r="L39" i="5" s="1"/>
  <c r="M35" i="5" s="1"/>
  <c r="AN38" i="5" l="1"/>
  <c r="AN32" i="5"/>
  <c r="M37" i="5"/>
  <c r="M39" i="5" s="1"/>
  <c r="N35" i="5" s="1"/>
  <c r="N37" i="5" l="1"/>
  <c r="N39" i="5" s="1"/>
  <c r="O35" i="5" s="1"/>
  <c r="O37" i="5" l="1"/>
  <c r="O39" i="5" s="1"/>
  <c r="P35" i="5" s="1"/>
  <c r="P37" i="5" l="1"/>
  <c r="P39" i="5" s="1"/>
  <c r="Q35" i="5" s="1"/>
  <c r="Q37" i="5" l="1"/>
  <c r="Q39" i="5" s="1"/>
  <c r="R35" i="5" s="1"/>
  <c r="R37" i="5" l="1"/>
  <c r="R39" i="5" s="1"/>
  <c r="S35" i="5" s="1"/>
  <c r="S37" i="5" l="1"/>
  <c r="S39" i="5" s="1"/>
  <c r="T35" i="5" s="1"/>
  <c r="T37" i="5" l="1"/>
  <c r="T39" i="5" s="1"/>
  <c r="U35" i="5" s="1"/>
  <c r="U37" i="5" l="1"/>
  <c r="U39" i="5" s="1"/>
  <c r="V35" i="5" s="1"/>
  <c r="V37" i="5" l="1"/>
  <c r="V39" i="5" s="1"/>
  <c r="W35" i="5" s="1"/>
  <c r="W37" i="5" l="1"/>
  <c r="W39" i="5" s="1"/>
  <c r="X35" i="5" s="1"/>
  <c r="X37" i="5" l="1"/>
  <c r="X39" i="5"/>
  <c r="Y35" i="5" s="1"/>
  <c r="Y37" i="5" l="1"/>
  <c r="Y39" i="5" s="1"/>
  <c r="Z35" i="5" s="1"/>
  <c r="Z37" i="5" l="1"/>
  <c r="Z39" i="5" s="1"/>
  <c r="AA35" i="5" s="1"/>
  <c r="AA37" i="5" l="1"/>
  <c r="AA39" i="5" s="1"/>
  <c r="AB35" i="5" s="1"/>
  <c r="AB37" i="5" l="1"/>
  <c r="AB39" i="5" s="1"/>
  <c r="AC35" i="5" s="1"/>
  <c r="AC37" i="5" l="1"/>
  <c r="AC39" i="5" s="1"/>
  <c r="AD35" i="5" s="1"/>
  <c r="AD37" i="5" l="1"/>
  <c r="AD39" i="5" s="1"/>
  <c r="AE35" i="5" s="1"/>
  <c r="AE37" i="5" l="1"/>
  <c r="AE39" i="5" s="1"/>
  <c r="AF35" i="5" s="1"/>
  <c r="AF37" i="5" l="1"/>
  <c r="AF39" i="5" s="1"/>
  <c r="AG35" i="5" s="1"/>
  <c r="AG37" i="5" l="1"/>
  <c r="AG39" i="5" s="1"/>
  <c r="AH35" i="5" s="1"/>
  <c r="AH37" i="5" l="1"/>
  <c r="AH39" i="5" s="1"/>
  <c r="AI35" i="5" s="1"/>
  <c r="AI37" i="5" l="1"/>
  <c r="AI39" i="5" s="1"/>
  <c r="AJ35" i="5" s="1"/>
  <c r="AJ37" i="5" l="1"/>
  <c r="AJ39" i="5" s="1"/>
  <c r="AK35" i="5" s="1"/>
  <c r="AK37" i="5" l="1"/>
  <c r="AK39" i="5" s="1"/>
  <c r="AL35" i="5" s="1"/>
  <c r="AL37" i="5" l="1"/>
  <c r="AL39" i="5" s="1"/>
  <c r="AM35" i="5" s="1"/>
  <c r="AM37" i="5" l="1"/>
  <c r="AM39" i="5" s="1"/>
  <c r="F61" i="1" l="1"/>
  <c r="F66" i="1" s="1"/>
  <c r="E61" i="1"/>
  <c r="E66" i="1"/>
  <c r="C57" i="1"/>
  <c r="D57" i="1"/>
  <c r="E50" i="1"/>
  <c r="D50" i="1"/>
  <c r="C50" i="1"/>
  <c r="D39" i="1"/>
  <c r="C39" i="1"/>
  <c r="F36" i="1"/>
  <c r="F39" i="1" s="1"/>
  <c r="E29" i="1"/>
  <c r="D29" i="1"/>
  <c r="C29" i="1"/>
  <c r="D24" i="1"/>
  <c r="C24" i="1"/>
  <c r="E16" i="1"/>
  <c r="E24" i="1" s="1"/>
  <c r="F20" i="1" l="1"/>
  <c r="E53" i="1"/>
  <c r="E7" i="1"/>
  <c r="E11" i="1" s="1"/>
  <c r="E54" i="1"/>
  <c r="E32" i="1"/>
  <c r="E39" i="1" s="1"/>
  <c r="F24" i="1" l="1"/>
  <c r="F63" i="1" s="1"/>
  <c r="E57" i="1"/>
  <c r="E65" i="1" s="1"/>
  <c r="F65" i="1" l="1"/>
  <c r="F7" i="1" s="1"/>
  <c r="F11" i="1" l="1"/>
  <c r="G13" i="1" s="1"/>
</calcChain>
</file>

<file path=xl/sharedStrings.xml><?xml version="1.0" encoding="utf-8"?>
<sst xmlns="http://schemas.openxmlformats.org/spreadsheetml/2006/main" count="616" uniqueCount="281">
  <si>
    <t>Account Name</t>
  </si>
  <si>
    <t>6310</t>
  </si>
  <si>
    <t>6315</t>
  </si>
  <si>
    <t>7010</t>
  </si>
  <si>
    <t>7140</t>
  </si>
  <si>
    <t>7160</t>
  </si>
  <si>
    <t>7250</t>
  </si>
  <si>
    <t>7255</t>
  </si>
  <si>
    <t>7256</t>
  </si>
  <si>
    <t>7270</t>
  </si>
  <si>
    <t>7290</t>
  </si>
  <si>
    <t>7499</t>
  </si>
  <si>
    <t>7810</t>
  </si>
  <si>
    <t>7880</t>
  </si>
  <si>
    <t>8010</t>
  </si>
  <si>
    <t>8015</t>
  </si>
  <si>
    <t>8140</t>
  </si>
  <si>
    <t>8192</t>
  </si>
  <si>
    <t>8401</t>
  </si>
  <si>
    <t>8420</t>
  </si>
  <si>
    <t>8451</t>
  </si>
  <si>
    <t>8325</t>
  </si>
  <si>
    <t>8510</t>
  </si>
  <si>
    <t>8522</t>
  </si>
  <si>
    <t>8530</t>
  </si>
  <si>
    <t>8535</t>
  </si>
  <si>
    <t>8910</t>
  </si>
  <si>
    <t>8930</t>
  </si>
  <si>
    <t>8940</t>
  </si>
  <si>
    <t>8950</t>
  </si>
  <si>
    <t>9910</t>
  </si>
  <si>
    <t>Total Operating Expense</t>
  </si>
  <si>
    <t>GL</t>
  </si>
  <si>
    <t>Notes</t>
  </si>
  <si>
    <t>Kept at same allocation as prior year, anticipated increase of 4% expected in 2025</t>
  </si>
  <si>
    <t>SIRS study doesn’t need to be again for 10 years will be build into the reserves</t>
  </si>
  <si>
    <t>Maintenance Income Assessment</t>
  </si>
  <si>
    <t>ADMINISTRATIVE EXPENSES</t>
  </si>
  <si>
    <t>Management Fees</t>
  </si>
  <si>
    <t>Office Expenses</t>
  </si>
  <si>
    <t>Legal Fees</t>
  </si>
  <si>
    <t>FL DBPR Condo Fees</t>
  </si>
  <si>
    <t>Corp Annual Report Fee</t>
  </si>
  <si>
    <t>Reserve Study</t>
  </si>
  <si>
    <t>Tax Review And Prep</t>
  </si>
  <si>
    <t>Website Administration</t>
  </si>
  <si>
    <t>Total ADMINISTRATIVE EXPENSES</t>
  </si>
  <si>
    <t>INSURANCE EXPENSES</t>
  </si>
  <si>
    <t>Insurance Expense</t>
  </si>
  <si>
    <t>Insurance - Appraisal</t>
  </si>
  <si>
    <t>Total INSURANCE EXPENSES</t>
  </si>
  <si>
    <t>BUILDING EXPENSE</t>
  </si>
  <si>
    <t>Building Maintenance &amp; Repair</t>
  </si>
  <si>
    <t>Building Maintenance Supplies/Bulbs</t>
  </si>
  <si>
    <t>Janitorial Contract</t>
  </si>
  <si>
    <t>Elevator Maintenance/ Repairs</t>
  </si>
  <si>
    <t>Pest Control Building (Exterior)</t>
  </si>
  <si>
    <t>Pest Control - Rodents</t>
  </si>
  <si>
    <t>Hurricane Ian Expenses</t>
  </si>
  <si>
    <t>FIRE SAFETY EXPENSES</t>
  </si>
  <si>
    <t>Total FIRE SAFETY EXPENSES</t>
  </si>
  <si>
    <t>LANDSCAPE EXPENSES</t>
  </si>
  <si>
    <t>Landscape / Lawn Maintenance Contract</t>
  </si>
  <si>
    <t>Landscape: Plant Replacement</t>
  </si>
  <si>
    <t>Mulch &amp; Pinestraw</t>
  </si>
  <si>
    <t>Tree Trimming</t>
  </si>
  <si>
    <t>Total LANDSCAPE EXPENSES</t>
  </si>
  <si>
    <t>UTILITIES</t>
  </si>
  <si>
    <t>Electricity</t>
  </si>
  <si>
    <t>Water/ Sewer</t>
  </si>
  <si>
    <t>Telephone</t>
  </si>
  <si>
    <t>Trash</t>
  </si>
  <si>
    <t>Reserves Funding</t>
  </si>
  <si>
    <t>Pooled Reserve Funding</t>
  </si>
  <si>
    <t>Total Reserves Funding</t>
  </si>
  <si>
    <t>Hammock Greens III at Pelican Sound</t>
  </si>
  <si>
    <t>Proposed 2024 Budget</t>
  </si>
  <si>
    <t>Based on 22 Units</t>
  </si>
  <si>
    <t>Fiscal Year January 1, 2025 through December 31, 2025</t>
  </si>
  <si>
    <t>Administrative - Miscellaneous &amp; Other Exp</t>
  </si>
  <si>
    <t>Fire Alarm: Sprinkler/ Backflow Syst. Insp.</t>
  </si>
  <si>
    <t>2024 Budget</t>
  </si>
  <si>
    <t xml:space="preserve">YTD Actual </t>
  </si>
  <si>
    <t xml:space="preserve">projected YE </t>
  </si>
  <si>
    <t>Proposed 2025</t>
  </si>
  <si>
    <t>an increase of $324 for the year</t>
  </si>
  <si>
    <t>$4.00 State Fee per Unit</t>
  </si>
  <si>
    <t>State Fee for Annual Corp Update</t>
  </si>
  <si>
    <t>Contracted rate</t>
  </si>
  <si>
    <t>Software for board use</t>
  </si>
  <si>
    <t>Townsend appraisal. Same price over 6 years</t>
  </si>
  <si>
    <t>Website Hosting Cost to Provider</t>
  </si>
  <si>
    <t>Kept at same allocation as prior year</t>
  </si>
  <si>
    <t>No Increase for 2025</t>
  </si>
  <si>
    <t>Small increase for 2025</t>
  </si>
  <si>
    <t>Kept the same as last year.Largest expense was because of backflow repairs, 20 year, &amp; 5 year inspections.</t>
  </si>
  <si>
    <t>an increase of $240 for 2025</t>
  </si>
  <si>
    <t xml:space="preserve">Kept at same allocation </t>
  </si>
  <si>
    <t>Kept at same allocation</t>
  </si>
  <si>
    <t>Lowered as we are only expecting a small increase and we were under budget for 2024</t>
  </si>
  <si>
    <t>Epecting a slight increase for 2025</t>
  </si>
  <si>
    <t>Over budget as they had a large increase in 2 times a week pickup</t>
  </si>
  <si>
    <t>Total Expenditures</t>
  </si>
  <si>
    <t xml:space="preserve"> </t>
  </si>
  <si>
    <t>x</t>
  </si>
  <si>
    <t>Carports</t>
  </si>
  <si>
    <t>30 to 35</t>
  </si>
  <si>
    <t>Square Feet</t>
  </si>
  <si>
    <t>Non-SIRS</t>
  </si>
  <si>
    <t>Asphalt Pavement, Mill and Overlay</t>
  </si>
  <si>
    <t>20 to 25</t>
  </si>
  <si>
    <t>Square Yards</t>
  </si>
  <si>
    <t>Asphalt Pavement, Patch and Surface Treatment</t>
  </si>
  <si>
    <t>Unknown</t>
  </si>
  <si>
    <t>3 to 5</t>
  </si>
  <si>
    <t>Property Site Components</t>
  </si>
  <si>
    <t>Trash Chute and Doors</t>
  </si>
  <si>
    <t>to 50+</t>
  </si>
  <si>
    <t>Each</t>
  </si>
  <si>
    <t>Pipes, Riser Sections, Domestic Water, Vent and Waste, Partial</t>
  </si>
  <si>
    <t>to 90+</t>
  </si>
  <si>
    <t>Units</t>
  </si>
  <si>
    <t>SIRS</t>
  </si>
  <si>
    <t>Life Safety System, Emergency Devices</t>
  </si>
  <si>
    <t>to 25</t>
  </si>
  <si>
    <t>Allowance</t>
  </si>
  <si>
    <t>Life Safety System, Control Panel</t>
  </si>
  <si>
    <t>to 15</t>
  </si>
  <si>
    <t>Elevator, Hydraulic, Modernization (2025 is Budgeted)</t>
  </si>
  <si>
    <t>25 to 30</t>
  </si>
  <si>
    <t>Elevator, Hydraulic, Cylinder</t>
  </si>
  <si>
    <t>to 45</t>
  </si>
  <si>
    <t>Elevator Cab Finishes</t>
  </si>
  <si>
    <t>Electrical Systems, Main Panels, Partial</t>
  </si>
  <si>
    <t>to 80+</t>
  </si>
  <si>
    <t>Backflow Preventer, Fire</t>
  </si>
  <si>
    <t>Backflow Preventer, Domestic Water</t>
  </si>
  <si>
    <t>Building Services Components</t>
  </si>
  <si>
    <t>Walls, Stucco, Paint Finishes and Capital Repairs (Incl. Breezeway &amp; Staircase Railings)</t>
  </si>
  <si>
    <t>8 to 10</t>
  </si>
  <si>
    <t>Roof, Concrete Tile</t>
  </si>
  <si>
    <t>Squares</t>
  </si>
  <si>
    <t>Doors, Common, Phased</t>
  </si>
  <si>
    <t>Breezeways, Railings, Replacement (Incl. Staircases)</t>
  </si>
  <si>
    <t>to 50</t>
  </si>
  <si>
    <t>Linear Feet</t>
  </si>
  <si>
    <t>Balconies and Breezeways, Concrete, Repairs and Waterproof Coating Applications</t>
  </si>
  <si>
    <t>10 to 15</t>
  </si>
  <si>
    <t>Exterior Building Components</t>
  </si>
  <si>
    <t>of Replacement</t>
  </si>
  <si>
    <t>per Total</t>
  </si>
  <si>
    <t>per Phase</t>
  </si>
  <si>
    <t>Cost</t>
  </si>
  <si>
    <t>(Years)</t>
  </si>
  <si>
    <t>(Year)</t>
  </si>
  <si>
    <t>Replacement</t>
  </si>
  <si>
    <t>Measurement</t>
  </si>
  <si>
    <t>Quantity</t>
  </si>
  <si>
    <t>Classification</t>
  </si>
  <si>
    <t>Reserve Components</t>
  </si>
  <si>
    <t>Item</t>
  </si>
  <si>
    <t>Year</t>
  </si>
  <si>
    <t>Cumulative Cost</t>
  </si>
  <si>
    <t>Unit</t>
  </si>
  <si>
    <t>Life</t>
  </si>
  <si>
    <t>Age</t>
  </si>
  <si>
    <t>1st Year of</t>
  </si>
  <si>
    <t xml:space="preserve">of </t>
  </si>
  <si>
    <t>Phase</t>
  </si>
  <si>
    <t xml:space="preserve">Total </t>
  </si>
  <si>
    <t>Statutory</t>
  </si>
  <si>
    <t>Line</t>
  </si>
  <si>
    <t>Fiscal</t>
  </si>
  <si>
    <t>Total 30-Year</t>
  </si>
  <si>
    <t>2024 Cost of</t>
  </si>
  <si>
    <t>Remaining</t>
  </si>
  <si>
    <t xml:space="preserve">Useful </t>
  </si>
  <si>
    <t>Per</t>
  </si>
  <si>
    <t>Condominium Association, Inc.</t>
  </si>
  <si>
    <t>Projected Inflation Rate</t>
  </si>
  <si>
    <t>Reserve Expenditures</t>
  </si>
  <si>
    <t>Appendix A</t>
  </si>
  <si>
    <t>4) Taxes on the interest earned are considered negligible</t>
  </si>
  <si>
    <t>3) Anticipated Interest Earned is calculated using the FY Starting Balance and is prorated for the current FY</t>
  </si>
  <si>
    <t>2) FY 2024 Starting Balance and Remaining Reserve Contributions are projected as of December 31, 2024</t>
  </si>
  <si>
    <t>1) FY 2024 begins January 1, 2024 and Ends December 31, 2024</t>
  </si>
  <si>
    <t>Cash Flow Notes:</t>
  </si>
  <si>
    <t>Risk Year</t>
  </si>
  <si>
    <t/>
  </si>
  <si>
    <t>Threshold/</t>
  </si>
  <si>
    <t>FY Ending Balance ($)</t>
  </si>
  <si>
    <t>Projected Expenditures</t>
  </si>
  <si>
    <t>Anticipated Interest Earned</t>
  </si>
  <si>
    <t>Recommended Reserve Contributions</t>
  </si>
  <si>
    <t>FY Starting Balance ($)</t>
  </si>
  <si>
    <t>FY</t>
  </si>
  <si>
    <t>(SIRS Components Only)</t>
  </si>
  <si>
    <t>Cash Flow Funding Plan (Pooled Method)</t>
  </si>
  <si>
    <t>B</t>
  </si>
  <si>
    <t>Appendix</t>
  </si>
  <si>
    <t>(Non-SIRS Components Only)</t>
  </si>
  <si>
    <t>Quarterly Maintenance Fee</t>
  </si>
  <si>
    <t>Lowered due to the moderization of the elevator.</t>
  </si>
  <si>
    <t>Inflation Rate =</t>
  </si>
  <si>
    <t>MANUAL</t>
  </si>
  <si>
    <t>AUTO.</t>
  </si>
  <si>
    <t>Last Done</t>
  </si>
  <si>
    <t>Expected</t>
  </si>
  <si>
    <t>First</t>
  </si>
  <si>
    <t>Second</t>
  </si>
  <si>
    <t>Third</t>
  </si>
  <si>
    <t>Fourth</t>
  </si>
  <si>
    <t>Fifth</t>
  </si>
  <si>
    <t>K7</t>
  </si>
  <si>
    <t>Per Phase</t>
  </si>
  <si>
    <t xml:space="preserve">Unit of </t>
  </si>
  <si>
    <t>Basis</t>
  </si>
  <si>
    <t>Cost Per</t>
  </si>
  <si>
    <t>Est. Cost</t>
  </si>
  <si>
    <t>Useful</t>
  </si>
  <si>
    <t xml:space="preserve">useful life to </t>
  </si>
  <si>
    <t>Year to</t>
  </si>
  <si>
    <t>Replace</t>
  </si>
  <si>
    <t>Lookup Code</t>
  </si>
  <si>
    <t>1st Replace</t>
  </si>
  <si>
    <t>3K71.14</t>
  </si>
  <si>
    <t>OP- BUD</t>
  </si>
  <si>
    <t>19K71.17</t>
  </si>
  <si>
    <t>20K71.18</t>
  </si>
  <si>
    <t>Light Fixtures, Exterior</t>
  </si>
  <si>
    <t>21K71.2</t>
  </si>
  <si>
    <t>Mailboxes</t>
  </si>
  <si>
    <t>22K74.09</t>
  </si>
  <si>
    <t>23K74.28</t>
  </si>
  <si>
    <t>Zones</t>
  </si>
  <si>
    <t>24HG 39020</t>
  </si>
  <si>
    <t>25HG 39035</t>
  </si>
  <si>
    <t>26HG 39065</t>
  </si>
  <si>
    <t>Common Area Landscape - (4) 5 year phases</t>
  </si>
  <si>
    <t>Phases</t>
  </si>
  <si>
    <t>EXPENDITURES</t>
  </si>
  <si>
    <t>1st</t>
  </si>
  <si>
    <t>2nd</t>
  </si>
  <si>
    <t>3rd</t>
  </si>
  <si>
    <t>4th</t>
  </si>
  <si>
    <t>5th</t>
  </si>
  <si>
    <t>Plus Interest =</t>
  </si>
  <si>
    <t>year</t>
  </si>
  <si>
    <t>2034</t>
  </si>
  <si>
    <t>2039</t>
  </si>
  <si>
    <t>2044</t>
  </si>
  <si>
    <t>2049</t>
  </si>
  <si>
    <t>Expenditures =</t>
  </si>
  <si>
    <t>CASH FLOW</t>
  </si>
  <si>
    <t>Plus Enter Contributions =</t>
  </si>
  <si>
    <t>Plus Anticipated Interest =</t>
  </si>
  <si>
    <t>Minus Projected Expenditures =</t>
  </si>
  <si>
    <t>FY Ending Balance =</t>
  </si>
  <si>
    <t>Roof Cleaning - 6 year cycle</t>
  </si>
  <si>
    <t>Trash Chute Doors - done when req. as Bldg Maint.</t>
  </si>
  <si>
    <t>Sidewalk Repairs - done when req. as Bldg Maint.</t>
  </si>
  <si>
    <t>Irrigation System - done when req. as Bldg Maint.</t>
  </si>
  <si>
    <t>Paint Walkway - every 5 yr alternate with bldg. paint</t>
  </si>
  <si>
    <t>Gutters and Downspouts, Aluminum -50% replace</t>
  </si>
  <si>
    <t>Measure</t>
  </si>
  <si>
    <t>Lin. Ft.</t>
  </si>
  <si>
    <t>Sq. Ft.</t>
  </si>
  <si>
    <t>Starting Balance Funded from Retained Earnings =</t>
  </si>
  <si>
    <t xml:space="preserve">HG III SUMMARY of OPERATIONAL RESERVE  ITEMS </t>
  </si>
  <si>
    <t>INCOME</t>
  </si>
  <si>
    <t>EXPENSES</t>
  </si>
  <si>
    <t>Divided by 22 Doors and Divded by 4 Quarters per Year =</t>
  </si>
  <si>
    <t>Reserve Assessment - SIRS</t>
  </si>
  <si>
    <t>Reserve Assessment - Non SIRS</t>
  </si>
  <si>
    <t>Reserve Assessment - Operational Reserve</t>
  </si>
  <si>
    <t>Flood $13,281 Property $36,805.86 D&amp;O $959.75 Package $1,833.20</t>
  </si>
  <si>
    <t>Same as 2024 order just placed</t>
  </si>
  <si>
    <r>
      <t>Lowered to</t>
    </r>
    <r>
      <rPr>
        <sz val="12"/>
        <rFont val="Arial"/>
        <family val="2"/>
      </rPr>
      <t xml:space="preserve"> 500</t>
    </r>
    <r>
      <rPr>
        <sz val="12"/>
        <rFont val="Arial"/>
        <family val="1"/>
      </rPr>
      <t xml:space="preserve"> as we were under budget and opened gl 7256 for the SIRS</t>
    </r>
  </si>
  <si>
    <t>Total UTILITIES EXPENSES</t>
  </si>
  <si>
    <t>Total BUILDING EXPENSES</t>
  </si>
  <si>
    <t>Total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</si>
</sst>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$-409]#,##0.00"/>
    <numFmt numFmtId="166" formatCode="0.000"/>
    <numFmt numFmtId="167" formatCode="&quot;$&quot;#,##0.00"/>
    <numFmt numFmtId="168" formatCode=";;;"/>
    <numFmt numFmtId="169" formatCode="0.0%"/>
    <numFmt numFmtId="170" formatCode="#,##0;[Red]\-#,##0"/>
    <numFmt numFmtId="171" formatCode="[$$-409]#,##0"/>
    <numFmt numFmtId="172" formatCode="[$$-409]#,##0;[Red]\-[$$-409]#,##0"/>
    <numFmt numFmtId="173" formatCode="0;[Red]\-0"/>
    <numFmt numFmtId="174" formatCode="_(&quot;$&quot;* #,##0_);_(&quot;$&quot;* \(#,##0\);_(&quot;$&quot;* &quot;-&quot;??_);_(@_)"/>
  </numFmts>
  <fonts count="88" x14ac:knownFonts="1">
    <font>
      <sz val="11"/>
      <name val="Arial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1"/>
      <name val="Arial"/>
      <family val="1"/>
    </font>
    <font>
      <sz val="12"/>
      <name val="Aptos Narrow"/>
      <family val="2"/>
      <scheme val="minor"/>
    </font>
    <font>
      <b/>
      <sz val="12"/>
      <color rgb="FF303030"/>
      <name val="Aptos Narrow"/>
      <family val="2"/>
      <scheme val="minor"/>
    </font>
    <font>
      <b/>
      <sz val="12"/>
      <color rgb="FF303030"/>
      <name val="Arial"/>
      <family val="2"/>
    </font>
    <font>
      <sz val="11"/>
      <name val="Aptos Narrow"/>
      <family val="2"/>
      <scheme val="minor"/>
    </font>
    <font>
      <sz val="12"/>
      <name val="Calibri"/>
      <family val="2"/>
    </font>
    <font>
      <sz val="12"/>
      <color rgb="FF303030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2"/>
      <color rgb="FF00B0F0"/>
      <name val="Arial"/>
      <family val="2"/>
    </font>
    <font>
      <b/>
      <sz val="16"/>
      <color indexed="8"/>
      <name val="Arial Narrow"/>
      <family val="2"/>
    </font>
    <font>
      <sz val="16"/>
      <color indexed="8"/>
      <name val="Arial Narrow"/>
      <family val="2"/>
    </font>
    <font>
      <sz val="16"/>
      <color rgb="FF00B0F0"/>
      <name val="Arial Narrow"/>
      <family val="2"/>
    </font>
    <font>
      <sz val="16"/>
      <name val="Arial Narrow"/>
      <family val="2"/>
    </font>
    <font>
      <sz val="16"/>
      <color theme="0"/>
      <name val="Arial Narrow"/>
      <family val="2"/>
    </font>
    <font>
      <b/>
      <sz val="16"/>
      <color rgb="FF00B0F0"/>
      <name val="Arial Narrow"/>
      <family val="2"/>
    </font>
    <font>
      <b/>
      <sz val="16"/>
      <name val="Arial Narrow"/>
      <family val="2"/>
    </font>
    <font>
      <b/>
      <i/>
      <sz val="16"/>
      <color indexed="8"/>
      <name val="Arial Narrow"/>
      <family val="2"/>
    </font>
    <font>
      <b/>
      <sz val="16"/>
      <color rgb="FFFF0000"/>
      <name val="Arial Narrow"/>
      <family val="2"/>
    </font>
    <font>
      <sz val="14"/>
      <name val="Arial Narrow"/>
      <family val="2"/>
    </font>
    <font>
      <b/>
      <sz val="20"/>
      <name val="Arial Narrow"/>
      <family val="2"/>
    </font>
    <font>
      <b/>
      <sz val="16"/>
      <color theme="0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2"/>
      <color rgb="FF00B0F0"/>
      <name val="Arial Narrow"/>
      <family val="2"/>
    </font>
    <font>
      <sz val="12"/>
      <name val="Arial Narrow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 Narrow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b/>
      <i/>
      <u/>
      <sz val="16"/>
      <color indexed="8"/>
      <name val="Arial"/>
      <family val="2"/>
    </font>
    <font>
      <b/>
      <sz val="36"/>
      <color rgb="FFC0504D"/>
      <name val="Arial Narrow"/>
      <family val="2"/>
    </font>
    <font>
      <b/>
      <u/>
      <sz val="14"/>
      <name val="Arial Narrow"/>
      <family val="2"/>
    </font>
    <font>
      <b/>
      <sz val="24"/>
      <color rgb="FFC0504D"/>
      <name val="Arial Narrow"/>
      <family val="2"/>
    </font>
    <font>
      <sz val="16"/>
      <color theme="1"/>
      <name val="Aptos Narrow"/>
      <family val="2"/>
      <scheme val="minor"/>
    </font>
    <font>
      <sz val="11"/>
      <color rgb="FFC0504D"/>
      <name val="Aptos Narrow"/>
      <family val="2"/>
      <scheme val="minor"/>
    </font>
    <font>
      <sz val="14"/>
      <color rgb="FFC0504D"/>
      <name val="Arial Narrow"/>
      <family val="2"/>
    </font>
    <font>
      <b/>
      <sz val="18"/>
      <color rgb="FFC0504D"/>
      <name val="Arial Narrow"/>
      <family val="2"/>
    </font>
    <font>
      <sz val="16"/>
      <color rgb="FFC0504D"/>
      <name val="Arial Narrow"/>
      <family val="2"/>
    </font>
    <font>
      <b/>
      <sz val="14"/>
      <color indexed="8"/>
      <name val="Arial Narrow"/>
      <family val="2"/>
    </font>
    <font>
      <b/>
      <sz val="14"/>
      <color rgb="FFC0504D"/>
      <name val="Arial Narrow"/>
      <family val="2"/>
    </font>
    <font>
      <sz val="11"/>
      <color rgb="FFC0504D"/>
      <name val="Arial Narrow"/>
      <family val="2"/>
    </font>
    <font>
      <b/>
      <sz val="22"/>
      <color rgb="FFC0504D"/>
      <name val="Arial Narrow"/>
      <family val="2"/>
    </font>
    <font>
      <b/>
      <sz val="18"/>
      <color theme="1"/>
      <name val="Arial Narrow"/>
      <family val="2"/>
    </font>
    <font>
      <sz val="20"/>
      <name val="Arial Narrow"/>
      <family val="2"/>
    </font>
    <font>
      <u val="double"/>
      <sz val="20"/>
      <name val="Arial Narrow"/>
      <family val="2"/>
    </font>
    <font>
      <sz val="20"/>
      <name val="Arial"/>
      <family val="2"/>
    </font>
    <font>
      <b/>
      <sz val="20"/>
      <color theme="0"/>
      <name val="Arial Narrow"/>
      <family val="2"/>
    </font>
    <font>
      <sz val="20"/>
      <color indexed="8"/>
      <name val="Arial Narrow"/>
      <family val="2"/>
    </font>
    <font>
      <b/>
      <sz val="20"/>
      <color indexed="8"/>
      <name val="Arial Narrow"/>
      <family val="2"/>
    </font>
    <font>
      <u/>
      <sz val="20"/>
      <name val="Arial Narrow"/>
      <family val="2"/>
    </font>
    <font>
      <sz val="20"/>
      <color rgb="FFFF0000"/>
      <name val="Arial Narrow"/>
      <family val="2"/>
    </font>
    <font>
      <sz val="20"/>
      <color theme="1"/>
      <name val="Aptos Narrow"/>
      <family val="2"/>
      <scheme val="minor"/>
    </font>
    <font>
      <b/>
      <i/>
      <u/>
      <sz val="20"/>
      <color indexed="12"/>
      <name val="Arial Narrow"/>
      <family val="2"/>
    </font>
    <font>
      <sz val="20"/>
      <color rgb="FFC0504D"/>
      <name val="Arial Narrow"/>
      <family val="2"/>
    </font>
    <font>
      <b/>
      <sz val="14"/>
      <color indexed="12"/>
      <name val="Arial Narrow"/>
      <family val="2"/>
    </font>
    <font>
      <b/>
      <sz val="28"/>
      <name val="Arial Narrow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4"/>
      <color rgb="FFFF0000"/>
      <name val="Calibri"/>
      <family val="2"/>
    </font>
    <font>
      <sz val="14"/>
      <color rgb="FF0070C0"/>
      <name val="Calibri"/>
      <family val="2"/>
    </font>
    <font>
      <sz val="14"/>
      <color indexed="8"/>
      <name val="Calibri"/>
      <family val="2"/>
    </font>
    <font>
      <b/>
      <sz val="14"/>
      <color theme="1"/>
      <name val="Calibri"/>
      <family val="2"/>
    </font>
    <font>
      <sz val="16"/>
      <color rgb="FF474747"/>
      <name val="Arial"/>
      <family val="2"/>
    </font>
    <font>
      <b/>
      <sz val="12"/>
      <color rgb="FFFF0000"/>
      <name val="Arial"/>
      <family val="1"/>
    </font>
    <font>
      <strike/>
      <sz val="14"/>
      <name val="Calibri"/>
      <family val="2"/>
    </font>
    <font>
      <strike/>
      <sz val="14"/>
      <color rgb="FFFF0000"/>
      <name val="Calibri"/>
      <family val="2"/>
    </font>
    <font>
      <strike/>
      <sz val="14"/>
      <color rgb="FF0070C0"/>
      <name val="Calibri"/>
      <family val="2"/>
    </font>
    <font>
      <strike/>
      <sz val="14"/>
      <color theme="1"/>
      <name val="Calibri"/>
      <family val="2"/>
    </font>
    <font>
      <strike/>
      <sz val="14"/>
      <color indexed="8"/>
      <name val="Calibri"/>
      <family val="2"/>
    </font>
    <font>
      <b/>
      <sz val="12"/>
      <color theme="0"/>
      <name val="Aptos Narrow"/>
      <family val="2"/>
      <scheme val="minor"/>
    </font>
    <font>
      <sz val="12"/>
      <color rgb="FF303030"/>
      <name val="Aptos Narrow"/>
      <family val="2"/>
      <scheme val="minor"/>
    </font>
    <font>
      <b/>
      <sz val="12"/>
      <color rgb="FF303030"/>
      <name val="Calibri"/>
      <family val="2"/>
    </font>
    <font>
      <sz val="12"/>
      <name val="Arial"/>
      <family val="1"/>
    </font>
    <font>
      <b/>
      <sz val="16"/>
      <name val="Calibri"/>
      <family val="2"/>
    </font>
    <font>
      <b/>
      <sz val="12"/>
      <name val="Aptos Narrow"/>
      <family val="2"/>
      <scheme val="minor"/>
    </font>
    <font>
      <b/>
      <sz val="12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BDBDB"/>
        <bgColor indexed="64"/>
      </patternFill>
    </fill>
    <fill>
      <patternFill patternType="solid">
        <fgColor rgb="FF4A4545"/>
        <bgColor indexed="64"/>
      </patternFill>
    </fill>
    <fill>
      <patternFill patternType="solid">
        <fgColor rgb="FFDBDBDB"/>
        <bgColor indexed="9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rgb="FF4A4545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rgb="FF4A4545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rgb="FF4A4545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9">
    <xf numFmtId="0" fontId="0" fillId="0" borderId="0" xfId="0"/>
    <xf numFmtId="44" fontId="4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0" fontId="6" fillId="0" borderId="0" xfId="0" applyFont="1" applyAlignment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8" fillId="0" borderId="1" xfId="1" applyFont="1" applyBorder="1" applyAlignment="1">
      <alignment horizontal="left"/>
    </xf>
    <xf numFmtId="0" fontId="2" fillId="0" borderId="0" xfId="2"/>
    <xf numFmtId="0" fontId="12" fillId="0" borderId="0" xfId="3" applyProtection="1">
      <protection locked="0"/>
    </xf>
    <xf numFmtId="0" fontId="13" fillId="0" borderId="0" xfId="3" applyFont="1" applyProtection="1">
      <protection locked="0"/>
    </xf>
    <xf numFmtId="0" fontId="14" fillId="0" borderId="0" xfId="3" applyFont="1" applyProtection="1">
      <protection locked="0"/>
    </xf>
    <xf numFmtId="164" fontId="15" fillId="0" borderId="0" xfId="3" applyNumberFormat="1" applyFont="1" applyProtection="1">
      <protection locked="0" hidden="1"/>
    </xf>
    <xf numFmtId="0" fontId="15" fillId="0" borderId="0" xfId="3" applyFont="1" applyProtection="1">
      <protection locked="0" hidden="1"/>
    </xf>
    <xf numFmtId="0" fontId="16" fillId="0" borderId="0" xfId="3" applyFont="1" applyAlignment="1" applyProtection="1">
      <alignment horizontal="center"/>
      <protection locked="0"/>
    </xf>
    <xf numFmtId="164" fontId="16" fillId="0" borderId="0" xfId="3" applyNumberFormat="1" applyFont="1" applyProtection="1">
      <protection locked="0" hidden="1"/>
    </xf>
    <xf numFmtId="165" fontId="16" fillId="0" borderId="0" xfId="3" applyNumberFormat="1" applyFont="1" applyProtection="1">
      <protection locked="0"/>
    </xf>
    <xf numFmtId="0" fontId="16" fillId="0" borderId="0" xfId="3" applyFont="1" applyProtection="1">
      <protection locked="0"/>
    </xf>
    <xf numFmtId="0" fontId="17" fillId="0" borderId="0" xfId="3" applyFont="1" applyProtection="1">
      <protection locked="0"/>
    </xf>
    <xf numFmtId="1" fontId="16" fillId="0" borderId="0" xfId="3" applyNumberFormat="1" applyFont="1" applyProtection="1">
      <protection locked="0"/>
    </xf>
    <xf numFmtId="0" fontId="15" fillId="0" borderId="0" xfId="3" applyFont="1" applyProtection="1">
      <protection locked="0"/>
    </xf>
    <xf numFmtId="164" fontId="16" fillId="4" borderId="4" xfId="3" applyNumberFormat="1" applyFont="1" applyFill="1" applyBorder="1" applyProtection="1">
      <protection locked="0"/>
    </xf>
    <xf numFmtId="164" fontId="16" fillId="4" borderId="5" xfId="3" applyNumberFormat="1" applyFont="1" applyFill="1" applyBorder="1" applyProtection="1">
      <protection locked="0"/>
    </xf>
    <xf numFmtId="0" fontId="18" fillId="0" borderId="6" xfId="3" applyFont="1" applyBorder="1" applyAlignment="1" applyProtection="1">
      <alignment wrapText="1"/>
      <protection locked="0"/>
    </xf>
    <xf numFmtId="166" fontId="18" fillId="0" borderId="5" xfId="3" applyNumberFormat="1" applyFont="1" applyBorder="1" applyAlignment="1" applyProtection="1">
      <alignment horizontal="center"/>
      <protection locked="0"/>
    </xf>
    <xf numFmtId="164" fontId="16" fillId="0" borderId="5" xfId="3" applyNumberFormat="1" applyFont="1" applyBorder="1" applyProtection="1">
      <protection locked="0"/>
    </xf>
    <xf numFmtId="164" fontId="15" fillId="0" borderId="5" xfId="3" applyNumberFormat="1" applyFont="1" applyBorder="1" applyProtection="1">
      <protection locked="0"/>
    </xf>
    <xf numFmtId="164" fontId="18" fillId="0" borderId="5" xfId="3" applyNumberFormat="1" applyFont="1" applyBorder="1" applyProtection="1">
      <protection locked="0"/>
    </xf>
    <xf numFmtId="167" fontId="18" fillId="0" borderId="5" xfId="3" applyNumberFormat="1" applyFont="1" applyBorder="1" applyProtection="1">
      <protection locked="0"/>
    </xf>
    <xf numFmtId="0" fontId="18" fillId="0" borderId="5" xfId="3" applyFont="1" applyBorder="1" applyAlignment="1" applyProtection="1">
      <alignment horizontal="center"/>
      <protection locked="0"/>
    </xf>
    <xf numFmtId="0" fontId="17" fillId="0" borderId="5" xfId="3" applyFont="1" applyBorder="1" applyAlignment="1" applyProtection="1">
      <alignment horizontal="center"/>
      <protection locked="0"/>
    </xf>
    <xf numFmtId="0" fontId="16" fillId="0" borderId="5" xfId="3" applyFont="1" applyBorder="1" applyAlignment="1" applyProtection="1">
      <alignment horizontal="center"/>
      <protection locked="0"/>
    </xf>
    <xf numFmtId="1" fontId="18" fillId="0" borderId="5" xfId="3" applyNumberFormat="1" applyFont="1" applyBorder="1" applyAlignment="1" applyProtection="1">
      <alignment horizontal="center"/>
      <protection locked="0"/>
    </xf>
    <xf numFmtId="0" fontId="16" fillId="0" borderId="5" xfId="3" applyFont="1" applyBorder="1" applyProtection="1">
      <protection locked="0"/>
    </xf>
    <xf numFmtId="3" fontId="16" fillId="4" borderId="5" xfId="3" applyNumberFormat="1" applyFont="1" applyFill="1" applyBorder="1" applyProtection="1">
      <protection locked="0"/>
    </xf>
    <xf numFmtId="3" fontId="15" fillId="5" borderId="7" xfId="3" applyNumberFormat="1" applyFont="1" applyFill="1" applyBorder="1" applyAlignment="1" applyProtection="1">
      <alignment horizontal="right" wrapText="1"/>
      <protection locked="0"/>
    </xf>
    <xf numFmtId="49" fontId="19" fillId="6" borderId="5" xfId="3" applyNumberFormat="1" applyFont="1" applyFill="1" applyBorder="1" applyAlignment="1" applyProtection="1">
      <alignment horizontal="center"/>
      <protection locked="0"/>
    </xf>
    <xf numFmtId="0" fontId="20" fillId="0" borderId="5" xfId="3" applyFont="1" applyBorder="1" applyAlignment="1" applyProtection="1">
      <alignment horizontal="center"/>
      <protection locked="0"/>
    </xf>
    <xf numFmtId="166" fontId="16" fillId="4" borderId="8" xfId="3" applyNumberFormat="1" applyFont="1" applyFill="1" applyBorder="1" applyAlignment="1" applyProtection="1">
      <alignment horizontal="center"/>
      <protection locked="0"/>
    </xf>
    <xf numFmtId="164" fontId="18" fillId="0" borderId="9" xfId="3" applyNumberFormat="1" applyFont="1" applyBorder="1" applyProtection="1">
      <protection locked="0"/>
    </xf>
    <xf numFmtId="164" fontId="16" fillId="0" borderId="10" xfId="3" applyNumberFormat="1" applyFont="1" applyBorder="1" applyProtection="1">
      <protection locked="0"/>
    </xf>
    <xf numFmtId="164" fontId="18" fillId="0" borderId="1" xfId="3" applyNumberFormat="1" applyFont="1" applyBorder="1" applyProtection="1">
      <protection locked="0" hidden="1"/>
    </xf>
    <xf numFmtId="164" fontId="18" fillId="0" borderId="1" xfId="3" applyNumberFormat="1" applyFont="1" applyBorder="1" applyProtection="1">
      <protection locked="0"/>
    </xf>
    <xf numFmtId="164" fontId="16" fillId="0" borderId="1" xfId="3" applyNumberFormat="1" applyFont="1" applyBorder="1" applyProtection="1">
      <protection locked="0"/>
    </xf>
    <xf numFmtId="0" fontId="18" fillId="0" borderId="2" xfId="3" applyFont="1" applyBorder="1" applyAlignment="1" applyProtection="1">
      <alignment wrapText="1"/>
      <protection locked="0" hidden="1"/>
    </xf>
    <xf numFmtId="166" fontId="18" fillId="0" borderId="1" xfId="3" applyNumberFormat="1" applyFont="1" applyBorder="1" applyAlignment="1" applyProtection="1">
      <alignment horizontal="center"/>
      <protection locked="0" hidden="1"/>
    </xf>
    <xf numFmtId="164" fontId="15" fillId="0" borderId="3" xfId="3" applyNumberFormat="1" applyFont="1" applyBorder="1" applyProtection="1">
      <protection locked="0" hidden="1"/>
    </xf>
    <xf numFmtId="167" fontId="16" fillId="0" borderId="1" xfId="3" applyNumberFormat="1" applyFont="1" applyBorder="1" applyProtection="1">
      <protection locked="0"/>
    </xf>
    <xf numFmtId="0" fontId="16" fillId="0" borderId="1" xfId="3" applyFont="1" applyBorder="1" applyAlignment="1" applyProtection="1">
      <alignment horizontal="center"/>
      <protection locked="0" hidden="1"/>
    </xf>
    <xf numFmtId="0" fontId="18" fillId="0" borderId="1" xfId="3" applyFont="1" applyBorder="1" applyAlignment="1" applyProtection="1">
      <alignment horizontal="center"/>
      <protection locked="0"/>
    </xf>
    <xf numFmtId="1" fontId="18" fillId="0" borderId="1" xfId="3" applyNumberFormat="1" applyFont="1" applyBorder="1" applyAlignment="1" applyProtection="1">
      <alignment horizontal="center"/>
      <protection locked="0" hidden="1"/>
    </xf>
    <xf numFmtId="0" fontId="18" fillId="0" borderId="1" xfId="3" applyFont="1" applyBorder="1" applyProtection="1">
      <protection locked="0"/>
    </xf>
    <xf numFmtId="3" fontId="18" fillId="0" borderId="1" xfId="3" applyNumberFormat="1" applyFont="1" applyBorder="1" applyProtection="1">
      <protection locked="0" hidden="1"/>
    </xf>
    <xf numFmtId="3" fontId="21" fillId="0" borderId="10" xfId="3" applyNumberFormat="1" applyFont="1" applyBorder="1" applyAlignment="1" applyProtection="1">
      <alignment horizontal="right" wrapText="1"/>
      <protection locked="0" hidden="1"/>
    </xf>
    <xf numFmtId="49" fontId="19" fillId="6" borderId="10" xfId="3" applyNumberFormat="1" applyFont="1" applyFill="1" applyBorder="1" applyAlignment="1" applyProtection="1">
      <alignment horizontal="center"/>
      <protection locked="0"/>
    </xf>
    <xf numFmtId="0" fontId="18" fillId="0" borderId="1" xfId="3" applyFont="1" applyBorder="1" applyAlignment="1" applyProtection="1">
      <alignment wrapText="1"/>
      <protection locked="0"/>
    </xf>
    <xf numFmtId="166" fontId="16" fillId="0" borderId="11" xfId="3" applyNumberFormat="1" applyFont="1" applyBorder="1" applyAlignment="1" applyProtection="1">
      <alignment horizontal="center"/>
      <protection locked="0"/>
    </xf>
    <xf numFmtId="0" fontId="21" fillId="0" borderId="2" xfId="3" applyFont="1" applyBorder="1" applyAlignment="1" applyProtection="1">
      <alignment horizontal="center" wrapText="1"/>
      <protection locked="0" hidden="1"/>
    </xf>
    <xf numFmtId="166" fontId="18" fillId="0" borderId="1" xfId="3" applyNumberFormat="1" applyFont="1" applyBorder="1" applyAlignment="1" applyProtection="1">
      <alignment horizontal="center"/>
      <protection locked="0"/>
    </xf>
    <xf numFmtId="164" fontId="22" fillId="7" borderId="3" xfId="3" applyNumberFormat="1" applyFont="1" applyFill="1" applyBorder="1" applyProtection="1">
      <protection locked="0" hidden="1"/>
    </xf>
    <xf numFmtId="0" fontId="16" fillId="7" borderId="1" xfId="3" applyFont="1" applyFill="1" applyBorder="1" applyAlignment="1" applyProtection="1">
      <alignment horizontal="center"/>
      <protection locked="0"/>
    </xf>
    <xf numFmtId="0" fontId="16" fillId="0" borderId="1" xfId="3" applyFont="1" applyBorder="1" applyAlignment="1" applyProtection="1">
      <alignment horizontal="center"/>
      <protection locked="0"/>
    </xf>
    <xf numFmtId="1" fontId="16" fillId="7" borderId="1" xfId="3" applyNumberFormat="1" applyFont="1" applyFill="1" applyBorder="1" applyAlignment="1" applyProtection="1">
      <alignment horizontal="center"/>
      <protection locked="0"/>
    </xf>
    <xf numFmtId="0" fontId="18" fillId="7" borderId="1" xfId="3" applyFont="1" applyFill="1" applyBorder="1" applyProtection="1">
      <protection locked="0"/>
    </xf>
    <xf numFmtId="3" fontId="16" fillId="7" borderId="1" xfId="3" applyNumberFormat="1" applyFont="1" applyFill="1" applyBorder="1" applyProtection="1">
      <protection locked="0"/>
    </xf>
    <xf numFmtId="3" fontId="15" fillId="7" borderId="10" xfId="3" applyNumberFormat="1" applyFont="1" applyFill="1" applyBorder="1" applyAlignment="1" applyProtection="1">
      <alignment horizontal="right" wrapText="1"/>
      <protection locked="0"/>
    </xf>
    <xf numFmtId="0" fontId="15" fillId="7" borderId="1" xfId="3" applyFont="1" applyFill="1" applyBorder="1" applyAlignment="1" applyProtection="1">
      <alignment horizontal="center" wrapText="1"/>
      <protection locked="0"/>
    </xf>
    <xf numFmtId="0" fontId="23" fillId="0" borderId="2" xfId="3" applyFont="1" applyBorder="1" applyProtection="1">
      <protection locked="0"/>
    </xf>
    <xf numFmtId="164" fontId="15" fillId="0" borderId="3" xfId="3" applyNumberFormat="1" applyFont="1" applyBorder="1" applyProtection="1">
      <protection locked="0"/>
    </xf>
    <xf numFmtId="164" fontId="16" fillId="0" borderId="3" xfId="3" applyNumberFormat="1" applyFont="1" applyBorder="1" applyProtection="1">
      <protection locked="0"/>
    </xf>
    <xf numFmtId="0" fontId="24" fillId="0" borderId="1" xfId="3" applyFont="1" applyBorder="1" applyAlignment="1" applyProtection="1">
      <alignment horizontal="center"/>
      <protection locked="0"/>
    </xf>
    <xf numFmtId="1" fontId="16" fillId="0" borderId="1" xfId="3" applyNumberFormat="1" applyFont="1" applyBorder="1" applyAlignment="1" applyProtection="1">
      <alignment horizontal="center"/>
      <protection locked="0"/>
    </xf>
    <xf numFmtId="3" fontId="16" fillId="0" borderId="1" xfId="3" applyNumberFormat="1" applyFont="1" applyBorder="1" applyProtection="1">
      <protection locked="0"/>
    </xf>
    <xf numFmtId="3" fontId="15" fillId="0" borderId="10" xfId="3" applyNumberFormat="1" applyFont="1" applyBorder="1" applyAlignment="1" applyProtection="1">
      <alignment horizontal="right" wrapText="1"/>
      <protection locked="0"/>
    </xf>
    <xf numFmtId="0" fontId="23" fillId="0" borderId="1" xfId="3" applyFont="1" applyBorder="1" applyProtection="1">
      <protection locked="0"/>
    </xf>
    <xf numFmtId="164" fontId="16" fillId="0" borderId="9" xfId="3" applyNumberFormat="1" applyFont="1" applyBorder="1" applyProtection="1">
      <protection locked="0"/>
    </xf>
    <xf numFmtId="164" fontId="18" fillId="0" borderId="10" xfId="3" applyNumberFormat="1" applyFont="1" applyBorder="1" applyProtection="1">
      <protection locked="0"/>
    </xf>
    <xf numFmtId="164" fontId="21" fillId="0" borderId="3" xfId="3" applyNumberFormat="1" applyFont="1" applyBorder="1" applyProtection="1">
      <protection locked="0" hidden="1"/>
    </xf>
    <xf numFmtId="4" fontId="18" fillId="0" borderId="1" xfId="3" applyNumberFormat="1" applyFont="1" applyBorder="1" applyProtection="1">
      <protection locked="0" hidden="1"/>
    </xf>
    <xf numFmtId="0" fontId="16" fillId="7" borderId="1" xfId="3" applyFont="1" applyFill="1" applyBorder="1" applyProtection="1">
      <protection locked="0"/>
    </xf>
    <xf numFmtId="164" fontId="18" fillId="0" borderId="2" xfId="3" applyNumberFormat="1" applyFont="1" applyBorder="1" applyProtection="1">
      <protection locked="0"/>
    </xf>
    <xf numFmtId="164" fontId="22" fillId="7" borderId="1" xfId="3" applyNumberFormat="1" applyFont="1" applyFill="1" applyBorder="1" applyProtection="1">
      <protection locked="0" hidden="1"/>
    </xf>
    <xf numFmtId="167" fontId="16" fillId="7" borderId="1" xfId="3" applyNumberFormat="1" applyFont="1" applyFill="1" applyBorder="1" applyProtection="1">
      <protection locked="0"/>
    </xf>
    <xf numFmtId="0" fontId="16" fillId="8" borderId="1" xfId="3" applyFont="1" applyFill="1" applyBorder="1" applyAlignment="1" applyProtection="1">
      <alignment horizontal="center"/>
      <protection locked="0"/>
    </xf>
    <xf numFmtId="0" fontId="19" fillId="7" borderId="11" xfId="3" applyFont="1" applyFill="1" applyBorder="1" applyAlignment="1" applyProtection="1">
      <alignment horizontal="center"/>
      <protection locked="0"/>
    </xf>
    <xf numFmtId="1" fontId="21" fillId="0" borderId="12" xfId="3" applyNumberFormat="1" applyFont="1" applyBorder="1" applyAlignment="1" applyProtection="1">
      <alignment horizontal="center" vertical="center"/>
      <protection locked="0" hidden="1"/>
    </xf>
    <xf numFmtId="1" fontId="21" fillId="0" borderId="13" xfId="3" applyNumberFormat="1" applyFont="1" applyBorder="1" applyAlignment="1" applyProtection="1">
      <alignment horizontal="center" vertical="center"/>
      <protection locked="0" hidden="1"/>
    </xf>
    <xf numFmtId="0" fontId="25" fillId="0" borderId="14" xfId="3" applyFont="1" applyBorder="1" applyAlignment="1" applyProtection="1">
      <alignment vertical="center"/>
      <protection locked="0" hidden="1"/>
    </xf>
    <xf numFmtId="0" fontId="18" fillId="0" borderId="3" xfId="3" applyFont="1" applyBorder="1" applyAlignment="1" applyProtection="1">
      <alignment horizontal="center" vertical="center"/>
      <protection locked="0"/>
    </xf>
    <xf numFmtId="1" fontId="21" fillId="0" borderId="15" xfId="3" applyNumberFormat="1" applyFont="1" applyBorder="1" applyAlignment="1" applyProtection="1">
      <alignment horizontal="center" vertical="center"/>
      <protection locked="0" hidden="1"/>
    </xf>
    <xf numFmtId="1" fontId="21" fillId="0" borderId="16" xfId="3" applyNumberFormat="1" applyFont="1" applyBorder="1" applyAlignment="1" applyProtection="1">
      <alignment horizontal="center" vertical="center"/>
      <protection locked="0" hidden="1"/>
    </xf>
    <xf numFmtId="0" fontId="21" fillId="0" borderId="3" xfId="3" applyFont="1" applyBorder="1" applyAlignment="1" applyProtection="1">
      <alignment horizontal="center" vertical="center"/>
      <protection locked="0"/>
    </xf>
    <xf numFmtId="0" fontId="21" fillId="9" borderId="17" xfId="3" applyFont="1" applyFill="1" applyBorder="1" applyAlignment="1" applyProtection="1">
      <alignment horizontal="center" vertical="center"/>
      <protection locked="0"/>
    </xf>
    <xf numFmtId="0" fontId="21" fillId="6" borderId="18" xfId="3" applyFont="1" applyFill="1" applyBorder="1" applyAlignment="1" applyProtection="1">
      <alignment horizontal="center" vertical="center"/>
      <protection locked="0"/>
    </xf>
    <xf numFmtId="4" fontId="21" fillId="0" borderId="3" xfId="3" applyNumberFormat="1" applyFont="1" applyBorder="1" applyAlignment="1" applyProtection="1">
      <alignment horizontal="center" vertical="center"/>
      <protection locked="0"/>
    </xf>
    <xf numFmtId="0" fontId="21" fillId="0" borderId="19" xfId="3" applyFont="1" applyBorder="1" applyAlignment="1" applyProtection="1">
      <alignment horizontal="center" vertical="center"/>
      <protection locked="0"/>
    </xf>
    <xf numFmtId="0" fontId="21" fillId="0" borderId="20" xfId="3" applyFont="1" applyBorder="1" applyAlignment="1" applyProtection="1">
      <alignment horizontal="center" vertical="center"/>
      <protection locked="0"/>
    </xf>
    <xf numFmtId="0" fontId="26" fillId="6" borderId="20" xfId="3" applyFont="1" applyFill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vertical="center"/>
      <protection locked="0"/>
    </xf>
    <xf numFmtId="0" fontId="13" fillId="0" borderId="21" xfId="3" applyFont="1" applyBorder="1" applyAlignment="1" applyProtection="1">
      <alignment vertical="center"/>
      <protection locked="0"/>
    </xf>
    <xf numFmtId="1" fontId="21" fillId="0" borderId="22" xfId="3" applyNumberFormat="1" applyFont="1" applyBorder="1" applyAlignment="1" applyProtection="1">
      <alignment horizontal="center" vertical="center"/>
      <protection locked="0" hidden="1"/>
    </xf>
    <xf numFmtId="1" fontId="21" fillId="0" borderId="23" xfId="3" applyNumberFormat="1" applyFont="1" applyBorder="1" applyAlignment="1" applyProtection="1">
      <alignment horizontal="center" vertical="center"/>
      <protection locked="0" hidden="1"/>
    </xf>
    <xf numFmtId="0" fontId="25" fillId="0" borderId="18" xfId="3" applyFont="1" applyBorder="1" applyAlignment="1" applyProtection="1">
      <alignment horizontal="center" vertical="center"/>
      <protection locked="0" hidden="1"/>
    </xf>
    <xf numFmtId="1" fontId="21" fillId="0" borderId="19" xfId="3" applyNumberFormat="1" applyFont="1" applyBorder="1" applyAlignment="1" applyProtection="1">
      <alignment horizontal="center" vertical="center"/>
      <protection locked="0"/>
    </xf>
    <xf numFmtId="1" fontId="21" fillId="0" borderId="19" xfId="3" applyNumberFormat="1" applyFont="1" applyBorder="1" applyAlignment="1" applyProtection="1">
      <alignment horizontal="center" vertical="center"/>
      <protection locked="0" hidden="1"/>
    </xf>
    <xf numFmtId="1" fontId="21" fillId="0" borderId="24" xfId="3" applyNumberFormat="1" applyFont="1" applyBorder="1" applyAlignment="1" applyProtection="1">
      <alignment horizontal="center" vertical="center"/>
      <protection locked="0"/>
    </xf>
    <xf numFmtId="1" fontId="21" fillId="0" borderId="25" xfId="3" applyNumberFormat="1" applyFont="1" applyBorder="1" applyAlignment="1" applyProtection="1">
      <alignment horizontal="center" vertical="center"/>
      <protection locked="0"/>
    </xf>
    <xf numFmtId="0" fontId="21" fillId="0" borderId="18" xfId="3" applyFont="1" applyBorder="1" applyAlignment="1" applyProtection="1">
      <alignment horizontal="center" vertical="center"/>
      <protection locked="0"/>
    </xf>
    <xf numFmtId="4" fontId="21" fillId="0" borderId="17" xfId="3" applyNumberFormat="1" applyFont="1" applyBorder="1" applyAlignment="1" applyProtection="1">
      <alignment horizontal="center" vertical="center"/>
      <protection locked="0"/>
    </xf>
    <xf numFmtId="0" fontId="21" fillId="0" borderId="17" xfId="3" applyFont="1" applyBorder="1" applyAlignment="1" applyProtection="1">
      <alignment horizontal="center" vertical="center"/>
      <protection locked="0"/>
    </xf>
    <xf numFmtId="0" fontId="26" fillId="6" borderId="17" xfId="3" applyFont="1" applyFill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1" fillId="0" borderId="26" xfId="3" applyFont="1" applyBorder="1" applyAlignment="1" applyProtection="1">
      <alignment horizontal="center" vertical="center"/>
      <protection locked="0"/>
    </xf>
    <xf numFmtId="1" fontId="21" fillId="0" borderId="27" xfId="3" applyNumberFormat="1" applyFont="1" applyBorder="1" applyAlignment="1" applyProtection="1">
      <alignment horizontal="center" vertical="center"/>
      <protection locked="0"/>
    </xf>
    <xf numFmtId="1" fontId="21" fillId="0" borderId="28" xfId="3" applyNumberFormat="1" applyFont="1" applyBorder="1" applyAlignment="1" applyProtection="1">
      <alignment horizontal="center" vertical="center"/>
      <protection locked="0"/>
    </xf>
    <xf numFmtId="0" fontId="25" fillId="0" borderId="29" xfId="3" applyFont="1" applyBorder="1" applyAlignment="1" applyProtection="1">
      <alignment vertical="center"/>
      <protection locked="0" hidden="1"/>
    </xf>
    <xf numFmtId="1" fontId="21" fillId="0" borderId="30" xfId="3" applyNumberFormat="1" applyFont="1" applyBorder="1" applyAlignment="1" applyProtection="1">
      <alignment horizontal="center" vertical="center"/>
      <protection locked="0"/>
    </xf>
    <xf numFmtId="1" fontId="21" fillId="0" borderId="31" xfId="3" applyNumberFormat="1" applyFont="1" applyBorder="1" applyAlignment="1" applyProtection="1">
      <alignment horizontal="center" vertical="center"/>
      <protection locked="0"/>
    </xf>
    <xf numFmtId="0" fontId="21" fillId="0" borderId="28" xfId="3" applyFont="1" applyBorder="1" applyAlignment="1" applyProtection="1">
      <alignment horizontal="center" vertical="center"/>
      <protection locked="0"/>
    </xf>
    <xf numFmtId="0" fontId="21" fillId="0" borderId="29" xfId="3" applyFont="1" applyBorder="1" applyAlignment="1" applyProtection="1">
      <alignment horizontal="center" vertical="center"/>
      <protection locked="0" hidden="1"/>
    </xf>
    <xf numFmtId="1" fontId="21" fillId="0" borderId="32" xfId="3" applyNumberFormat="1" applyFont="1" applyBorder="1" applyAlignment="1" applyProtection="1">
      <alignment horizontal="center" vertical="center"/>
      <protection locked="0" hidden="1"/>
    </xf>
    <xf numFmtId="0" fontId="21" fillId="0" borderId="32" xfId="3" applyFont="1" applyBorder="1" applyAlignment="1" applyProtection="1">
      <alignment horizontal="center" vertical="center"/>
      <protection locked="0"/>
    </xf>
    <xf numFmtId="0" fontId="21" fillId="0" borderId="29" xfId="3" applyFont="1" applyBorder="1" applyAlignment="1" applyProtection="1">
      <alignment horizontal="center" vertical="center"/>
      <protection locked="0"/>
    </xf>
    <xf numFmtId="0" fontId="26" fillId="6" borderId="32" xfId="3" applyFont="1" applyFill="1" applyBorder="1" applyAlignment="1" applyProtection="1">
      <alignment horizontal="center" vertical="center"/>
      <protection locked="0"/>
    </xf>
    <xf numFmtId="0" fontId="25" fillId="0" borderId="28" xfId="3" applyFont="1" applyBorder="1" applyAlignment="1" applyProtection="1">
      <alignment vertical="center"/>
      <protection locked="0"/>
    </xf>
    <xf numFmtId="0" fontId="21" fillId="0" borderId="33" xfId="3" applyFont="1" applyBorder="1" applyAlignment="1" applyProtection="1">
      <alignment horizontal="center" vertical="center"/>
      <protection locked="0"/>
    </xf>
    <xf numFmtId="0" fontId="27" fillId="0" borderId="0" xfId="3" applyFont="1" applyProtection="1">
      <protection locked="0"/>
    </xf>
    <xf numFmtId="0" fontId="24" fillId="0" borderId="0" xfId="3" applyFont="1" applyProtection="1">
      <protection locked="0"/>
    </xf>
    <xf numFmtId="1" fontId="24" fillId="0" borderId="0" xfId="3" applyNumberFormat="1" applyFont="1" applyProtection="1">
      <protection locked="0"/>
    </xf>
    <xf numFmtId="0" fontId="12" fillId="0" borderId="34" xfId="3" applyBorder="1" applyProtection="1">
      <protection locked="0"/>
    </xf>
    <xf numFmtId="0" fontId="24" fillId="0" borderId="34" xfId="3" applyFont="1" applyBorder="1" applyAlignment="1" applyProtection="1">
      <alignment horizontal="centerContinuous" vertical="center"/>
      <protection locked="0"/>
    </xf>
    <xf numFmtId="0" fontId="28" fillId="0" borderId="0" xfId="3" applyFont="1" applyAlignment="1" applyProtection="1">
      <alignment horizontal="center" vertical="center"/>
      <protection locked="0"/>
    </xf>
    <xf numFmtId="0" fontId="24" fillId="0" borderId="0" xfId="3" applyFont="1" applyAlignment="1" applyProtection="1">
      <alignment horizontal="centerContinuous" vertical="center"/>
      <protection locked="0"/>
    </xf>
    <xf numFmtId="0" fontId="29" fillId="0" borderId="0" xfId="3" applyFont="1" applyAlignment="1" applyProtection="1">
      <alignment horizontal="left" vertical="top"/>
      <protection locked="0"/>
    </xf>
    <xf numFmtId="0" fontId="30" fillId="0" borderId="0" xfId="3" applyFont="1" applyAlignment="1" applyProtection="1">
      <alignment horizontal="left" vertical="top"/>
      <protection locked="0"/>
    </xf>
    <xf numFmtId="0" fontId="24" fillId="0" borderId="0" xfId="3" applyFont="1" applyAlignment="1" applyProtection="1">
      <alignment horizontal="left" vertical="top"/>
      <protection locked="0"/>
    </xf>
    <xf numFmtId="168" fontId="24" fillId="0" borderId="0" xfId="3" applyNumberFormat="1" applyFont="1" applyAlignment="1" applyProtection="1">
      <alignment horizontal="centerContinuous" vertical="center"/>
      <protection locked="0"/>
    </xf>
    <xf numFmtId="0" fontId="18" fillId="0" borderId="0" xfId="3" applyFont="1" applyAlignment="1" applyProtection="1">
      <alignment horizontal="centerContinuous" vertical="center"/>
      <protection locked="0"/>
    </xf>
    <xf numFmtId="0" fontId="30" fillId="0" borderId="0" xfId="3" applyFont="1" applyAlignment="1" applyProtection="1">
      <alignment horizontal="centerContinuous"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31" fillId="0" borderId="0" xfId="3" applyFont="1" applyProtection="1">
      <protection locked="0"/>
    </xf>
    <xf numFmtId="0" fontId="32" fillId="0" borderId="0" xfId="3" applyFont="1" applyAlignment="1" applyProtection="1">
      <alignment horizontal="center" vertical="center"/>
      <protection locked="0" hidden="1"/>
    </xf>
    <xf numFmtId="0" fontId="21" fillId="0" borderId="0" xfId="3" applyFont="1" applyAlignment="1" applyProtection="1">
      <alignment horizontal="center"/>
      <protection locked="0"/>
    </xf>
    <xf numFmtId="9" fontId="33" fillId="5" borderId="0" xfId="3" applyNumberFormat="1" applyFont="1" applyFill="1" applyAlignment="1" applyProtection="1">
      <alignment horizontal="center"/>
      <protection locked="0"/>
    </xf>
    <xf numFmtId="0" fontId="34" fillId="0" borderId="0" xfId="3" applyFont="1" applyAlignment="1" applyProtection="1">
      <alignment horizontal="right"/>
      <protection locked="0"/>
    </xf>
    <xf numFmtId="0" fontId="29" fillId="0" borderId="0" xfId="3" applyFont="1" applyAlignment="1" applyProtection="1">
      <alignment horizontal="centerContinuous" vertical="center"/>
      <protection locked="0"/>
    </xf>
    <xf numFmtId="1" fontId="13" fillId="0" borderId="0" xfId="3" applyNumberFormat="1" applyFont="1" applyProtection="1">
      <protection locked="0"/>
    </xf>
    <xf numFmtId="169" fontId="35" fillId="9" borderId="0" xfId="3" applyNumberFormat="1" applyFont="1" applyFill="1" applyAlignment="1" applyProtection="1">
      <alignment horizontal="center"/>
      <protection locked="0" hidden="1"/>
    </xf>
    <xf numFmtId="0" fontId="35" fillId="0" borderId="0" xfId="3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3" fontId="36" fillId="0" borderId="0" xfId="3" applyNumberFormat="1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0" fontId="37" fillId="0" borderId="0" xfId="3" applyFont="1" applyAlignment="1" applyProtection="1">
      <alignment horizontal="right"/>
      <protection locked="0"/>
    </xf>
    <xf numFmtId="0" fontId="27" fillId="0" borderId="0" xfId="3" applyFont="1" applyAlignment="1" applyProtection="1">
      <alignment horizontal="centerContinuous"/>
      <protection locked="0"/>
    </xf>
    <xf numFmtId="3" fontId="16" fillId="0" borderId="0" xfId="3" applyNumberFormat="1" applyFont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horizontal="centerContinuous"/>
      <protection locked="0"/>
    </xf>
    <xf numFmtId="0" fontId="39" fillId="0" borderId="0" xfId="3" applyFont="1" applyAlignment="1" applyProtection="1">
      <alignment horizontal="center" vertical="center"/>
      <protection locked="0" hidden="1"/>
    </xf>
    <xf numFmtId="168" fontId="24" fillId="0" borderId="0" xfId="3" applyNumberFormat="1" applyFont="1" applyProtection="1">
      <protection locked="0"/>
    </xf>
    <xf numFmtId="0" fontId="40" fillId="0" borderId="0" xfId="3" applyFont="1" applyProtection="1">
      <protection locked="0"/>
    </xf>
    <xf numFmtId="0" fontId="39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horizontal="right" vertical="center"/>
      <protection locked="0" hidden="1"/>
    </xf>
    <xf numFmtId="0" fontId="32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horizontal="center" vertical="center"/>
      <protection locked="0"/>
    </xf>
    <xf numFmtId="0" fontId="42" fillId="0" borderId="0" xfId="2" applyFont="1"/>
    <xf numFmtId="164" fontId="42" fillId="0" borderId="0" xfId="2" applyNumberFormat="1" applyFont="1"/>
    <xf numFmtId="0" fontId="43" fillId="0" borderId="0" xfId="2" applyFont="1"/>
    <xf numFmtId="0" fontId="44" fillId="0" borderId="0" xfId="2" applyFont="1"/>
    <xf numFmtId="0" fontId="45" fillId="0" borderId="0" xfId="3" applyFont="1" applyAlignment="1">
      <alignment horizontal="left" indent="9"/>
    </xf>
    <xf numFmtId="14" fontId="46" fillId="0" borderId="0" xfId="2" applyNumberFormat="1" applyFont="1" applyAlignment="1">
      <alignment horizontal="left"/>
    </xf>
    <xf numFmtId="170" fontId="44" fillId="0" borderId="0" xfId="3" applyNumberFormat="1" applyFont="1"/>
    <xf numFmtId="171" fontId="44" fillId="0" borderId="0" xfId="3" applyNumberFormat="1" applyFont="1"/>
    <xf numFmtId="0" fontId="45" fillId="0" borderId="0" xfId="2" applyFont="1" applyAlignment="1">
      <alignment horizontal="left" indent="9"/>
    </xf>
    <xf numFmtId="0" fontId="12" fillId="0" borderId="0" xfId="3"/>
    <xf numFmtId="170" fontId="27" fillId="0" borderId="0" xfId="3" applyNumberFormat="1" applyFont="1"/>
    <xf numFmtId="170" fontId="47" fillId="0" borderId="0" xfId="3" applyNumberFormat="1" applyFont="1" applyAlignment="1">
      <alignment horizontal="center"/>
    </xf>
    <xf numFmtId="170" fontId="48" fillId="0" borderId="0" xfId="3" applyNumberFormat="1" applyFont="1" applyAlignment="1">
      <alignment horizontal="center"/>
    </xf>
    <xf numFmtId="0" fontId="49" fillId="0" borderId="0" xfId="2" applyFont="1"/>
    <xf numFmtId="0" fontId="50" fillId="0" borderId="0" xfId="3" applyFont="1" applyAlignment="1">
      <alignment horizontal="left" indent="2"/>
    </xf>
    <xf numFmtId="0" fontId="51" fillId="0" borderId="0" xfId="2" applyFont="1" applyAlignment="1">
      <alignment horizontal="center"/>
    </xf>
    <xf numFmtId="171" fontId="24" fillId="0" borderId="0" xfId="3" applyNumberFormat="1" applyFont="1"/>
    <xf numFmtId="3" fontId="24" fillId="0" borderId="0" xfId="3" applyNumberFormat="1" applyFont="1"/>
    <xf numFmtId="1" fontId="24" fillId="0" borderId="0" xfId="3" applyNumberFormat="1" applyFont="1"/>
    <xf numFmtId="0" fontId="24" fillId="0" borderId="0" xfId="3" applyFont="1"/>
    <xf numFmtId="0" fontId="24" fillId="0" borderId="0" xfId="3" applyFont="1" applyAlignment="1">
      <alignment horizontal="center"/>
    </xf>
    <xf numFmtId="38" fontId="52" fillId="0" borderId="0" xfId="3" applyNumberFormat="1" applyFont="1" applyAlignment="1">
      <alignment horizontal="center"/>
    </xf>
    <xf numFmtId="172" fontId="53" fillId="0" borderId="0" xfId="3" applyNumberFormat="1" applyFont="1"/>
    <xf numFmtId="173" fontId="52" fillId="0" borderId="0" xfId="3" applyNumberFormat="1" applyFont="1"/>
    <xf numFmtId="0" fontId="54" fillId="0" borderId="0" xfId="3" applyFont="1"/>
    <xf numFmtId="0" fontId="25" fillId="0" borderId="0" xfId="3" applyFont="1"/>
    <xf numFmtId="37" fontId="52" fillId="9" borderId="35" xfId="3" applyNumberFormat="1" applyFont="1" applyFill="1" applyBorder="1" applyAlignment="1">
      <alignment horizontal="center"/>
    </xf>
    <xf numFmtId="37" fontId="52" fillId="9" borderId="5" xfId="3" applyNumberFormat="1" applyFont="1" applyFill="1" applyBorder="1" applyAlignment="1">
      <alignment horizontal="center"/>
    </xf>
    <xf numFmtId="0" fontId="52" fillId="9" borderId="34" xfId="3" applyFont="1" applyFill="1" applyBorder="1"/>
    <xf numFmtId="1" fontId="25" fillId="9" borderId="34" xfId="3" applyNumberFormat="1" applyFont="1" applyFill="1" applyBorder="1"/>
    <xf numFmtId="0" fontId="54" fillId="9" borderId="34" xfId="3" applyFont="1" applyFill="1" applyBorder="1"/>
    <xf numFmtId="0" fontId="25" fillId="9" borderId="36" xfId="3" applyFont="1" applyFill="1" applyBorder="1"/>
    <xf numFmtId="0" fontId="9" fillId="0" borderId="0" xfId="2" applyFont="1"/>
    <xf numFmtId="37" fontId="52" fillId="0" borderId="37" xfId="3" applyNumberFormat="1" applyFont="1" applyBorder="1" applyAlignment="1">
      <alignment horizontal="center"/>
    </xf>
    <xf numFmtId="37" fontId="52" fillId="0" borderId="1" xfId="3" applyNumberFormat="1" applyFont="1" applyBorder="1" applyAlignment="1">
      <alignment horizontal="center"/>
    </xf>
    <xf numFmtId="0" fontId="52" fillId="0" borderId="0" xfId="3" applyFont="1"/>
    <xf numFmtId="10" fontId="55" fillId="10" borderId="0" xfId="3" applyNumberFormat="1" applyFont="1" applyFill="1"/>
    <xf numFmtId="0" fontId="25" fillId="0" borderId="38" xfId="3" applyFont="1" applyBorder="1"/>
    <xf numFmtId="37" fontId="56" fillId="9" borderId="37" xfId="3" applyNumberFormat="1" applyFont="1" applyFill="1" applyBorder="1" applyAlignment="1">
      <alignment horizontal="center"/>
    </xf>
    <xf numFmtId="37" fontId="56" fillId="11" borderId="1" xfId="3" applyNumberFormat="1" applyFont="1" applyFill="1" applyBorder="1" applyAlignment="1" applyProtection="1">
      <alignment horizontal="center"/>
      <protection locked="0"/>
    </xf>
    <xf numFmtId="3" fontId="57" fillId="11" borderId="0" xfId="3" applyNumberFormat="1" applyFont="1" applyFill="1" applyProtection="1">
      <protection locked="0"/>
    </xf>
    <xf numFmtId="0" fontId="57" fillId="11" borderId="0" xfId="3" applyFont="1" applyFill="1" applyProtection="1">
      <protection locked="0"/>
    </xf>
    <xf numFmtId="0" fontId="57" fillId="9" borderId="38" xfId="3" applyFont="1" applyFill="1" applyBorder="1" applyProtection="1">
      <protection locked="0"/>
    </xf>
    <xf numFmtId="37" fontId="52" fillId="0" borderId="39" xfId="3" applyNumberFormat="1" applyFont="1" applyBorder="1" applyAlignment="1">
      <alignment horizontal="center"/>
    </xf>
    <xf numFmtId="37" fontId="52" fillId="0" borderId="13" xfId="3" applyNumberFormat="1" applyFont="1" applyBorder="1" applyAlignment="1">
      <alignment horizontal="center"/>
    </xf>
    <xf numFmtId="0" fontId="52" fillId="0" borderId="40" xfId="3" applyFont="1" applyBorder="1" applyProtection="1">
      <protection locked="0"/>
    </xf>
    <xf numFmtId="1" fontId="52" fillId="0" borderId="40" xfId="3" applyNumberFormat="1" applyFont="1" applyBorder="1"/>
    <xf numFmtId="0" fontId="54" fillId="0" borderId="40" xfId="3" applyFont="1" applyBorder="1"/>
    <xf numFmtId="0" fontId="25" fillId="0" borderId="33" xfId="3" applyFont="1" applyBorder="1"/>
    <xf numFmtId="1" fontId="25" fillId="0" borderId="0" xfId="3" applyNumberFormat="1" applyFont="1" applyAlignment="1">
      <alignment horizontal="center"/>
    </xf>
    <xf numFmtId="0" fontId="25" fillId="0" borderId="0" xfId="3" applyFont="1" applyAlignment="1" applyProtection="1">
      <alignment horizontal="center"/>
      <protection locked="0"/>
    </xf>
    <xf numFmtId="0" fontId="52" fillId="0" borderId="0" xfId="3" applyFont="1" applyAlignment="1">
      <alignment horizontal="center"/>
    </xf>
    <xf numFmtId="3" fontId="52" fillId="0" borderId="0" xfId="3" applyNumberFormat="1" applyFont="1"/>
    <xf numFmtId="3" fontId="58" fillId="0" borderId="0" xfId="3" applyNumberFormat="1" applyFont="1"/>
    <xf numFmtId="0" fontId="25" fillId="0" borderId="0" xfId="3" applyFont="1" applyAlignment="1">
      <alignment horizontal="center"/>
    </xf>
    <xf numFmtId="0" fontId="52" fillId="0" borderId="0" xfId="3" applyFont="1" applyAlignment="1">
      <alignment horizontal="centerContinuous"/>
    </xf>
    <xf numFmtId="170" fontId="59" fillId="0" borderId="0" xfId="3" applyNumberFormat="1" applyFont="1"/>
    <xf numFmtId="0" fontId="60" fillId="0" borderId="0" xfId="2" applyFont="1"/>
    <xf numFmtId="0" fontId="61" fillId="0" borderId="0" xfId="3" applyFont="1" applyAlignment="1">
      <alignment horizontal="centerContinuous"/>
    </xf>
    <xf numFmtId="0" fontId="62" fillId="0" borderId="0" xfId="3" applyFont="1"/>
    <xf numFmtId="0" fontId="54" fillId="0" borderId="0" xfId="3" applyFont="1" applyAlignment="1">
      <alignment horizontal="center"/>
    </xf>
    <xf numFmtId="169" fontId="54" fillId="0" borderId="0" xfId="3" applyNumberFormat="1" applyFont="1" applyAlignment="1">
      <alignment horizontal="center"/>
    </xf>
    <xf numFmtId="170" fontId="57" fillId="0" borderId="0" xfId="3" applyNumberFormat="1" applyFont="1" applyAlignment="1">
      <alignment horizontal="center"/>
    </xf>
    <xf numFmtId="165" fontId="54" fillId="0" borderId="0" xfId="3" applyNumberFormat="1" applyFont="1" applyAlignment="1">
      <alignment horizontal="center"/>
    </xf>
    <xf numFmtId="171" fontId="54" fillId="0" borderId="0" xfId="3" applyNumberFormat="1" applyFont="1" applyAlignment="1">
      <alignment horizontal="center"/>
    </xf>
    <xf numFmtId="1" fontId="52" fillId="0" borderId="0" xfId="3" applyNumberFormat="1" applyFont="1"/>
    <xf numFmtId="171" fontId="59" fillId="0" borderId="0" xfId="3" applyNumberFormat="1" applyFont="1"/>
    <xf numFmtId="3" fontId="59" fillId="0" borderId="0" xfId="3" applyNumberFormat="1" applyFont="1" applyAlignment="1">
      <alignment horizontal="right"/>
    </xf>
    <xf numFmtId="3" fontId="59" fillId="0" borderId="0" xfId="3" applyNumberFormat="1" applyFont="1" applyAlignment="1">
      <alignment horizontal="left"/>
    </xf>
    <xf numFmtId="37" fontId="56" fillId="11" borderId="37" xfId="3" applyNumberFormat="1" applyFont="1" applyFill="1" applyBorder="1" applyAlignment="1" applyProtection="1">
      <alignment horizontal="center"/>
      <protection locked="0"/>
    </xf>
    <xf numFmtId="37" fontId="57" fillId="11" borderId="1" xfId="3" applyNumberFormat="1" applyFont="1" applyFill="1" applyBorder="1" applyAlignment="1" applyProtection="1">
      <alignment horizontal="center"/>
      <protection locked="0"/>
    </xf>
    <xf numFmtId="37" fontId="52" fillId="11" borderId="3" xfId="3" applyNumberFormat="1" applyFont="1" applyFill="1" applyBorder="1" applyAlignment="1" applyProtection="1">
      <alignment horizontal="center"/>
      <protection locked="0"/>
    </xf>
    <xf numFmtId="3" fontId="25" fillId="0" borderId="0" xfId="3" applyNumberFormat="1" applyFont="1" applyAlignment="1">
      <alignment horizontal="center" vertical="center"/>
    </xf>
    <xf numFmtId="168" fontId="52" fillId="0" borderId="0" xfId="3" applyNumberFormat="1" applyFont="1" applyProtection="1">
      <protection hidden="1"/>
    </xf>
    <xf numFmtId="0" fontId="58" fillId="0" borderId="0" xfId="3" applyFont="1"/>
    <xf numFmtId="0" fontId="63" fillId="0" borderId="0" xfId="3" applyFont="1"/>
    <xf numFmtId="10" fontId="28" fillId="0" borderId="0" xfId="3" applyNumberFormat="1" applyFont="1"/>
    <xf numFmtId="168" fontId="24" fillId="0" borderId="0" xfId="3" applyNumberFormat="1" applyFont="1" applyProtection="1">
      <protection hidden="1"/>
    </xf>
    <xf numFmtId="0" fontId="41" fillId="0" borderId="0" xfId="3" applyFont="1" applyAlignment="1">
      <alignment vertic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10" fontId="66" fillId="0" borderId="41" xfId="7" applyNumberFormat="1" applyFont="1" applyBorder="1" applyAlignment="1">
      <alignment horizontal="center"/>
    </xf>
    <xf numFmtId="166" fontId="67" fillId="0" borderId="0" xfId="3" applyNumberFormat="1" applyFont="1" applyAlignment="1" applyProtection="1">
      <alignment horizontal="center" vertical="center"/>
      <protection locked="0"/>
    </xf>
    <xf numFmtId="0" fontId="67" fillId="0" borderId="0" xfId="3" applyFont="1" applyAlignment="1" applyProtection="1">
      <alignment horizontal="center" vertical="center" shrinkToFit="1"/>
      <protection locked="0"/>
    </xf>
    <xf numFmtId="0" fontId="67" fillId="0" borderId="0" xfId="3" applyFont="1" applyAlignment="1" applyProtection="1">
      <alignment horizontal="center" vertical="center"/>
      <protection locked="0"/>
    </xf>
    <xf numFmtId="168" fontId="67" fillId="0" borderId="0" xfId="3" applyNumberFormat="1" applyFont="1" applyAlignment="1" applyProtection="1">
      <alignment horizontal="center" vertical="center"/>
      <protection locked="0"/>
    </xf>
    <xf numFmtId="0" fontId="70" fillId="0" borderId="0" xfId="3" applyFont="1" applyAlignment="1" applyProtection="1">
      <alignment horizontal="center" vertical="center"/>
      <protection locked="0"/>
    </xf>
    <xf numFmtId="0" fontId="71" fillId="0" borderId="0" xfId="0" applyFont="1" applyAlignment="1" applyProtection="1">
      <alignment horizontal="center" vertical="center"/>
      <protection locked="0"/>
    </xf>
    <xf numFmtId="166" fontId="65" fillId="0" borderId="0" xfId="3" applyNumberFormat="1" applyFont="1" applyAlignment="1" applyProtection="1">
      <alignment horizontal="center" vertical="center"/>
      <protection locked="0"/>
    </xf>
    <xf numFmtId="0" fontId="65" fillId="0" borderId="0" xfId="3" applyFont="1" applyAlignment="1" applyProtection="1">
      <alignment horizontal="center" vertical="center" shrinkToFit="1"/>
      <protection locked="0"/>
    </xf>
    <xf numFmtId="0" fontId="65" fillId="0" borderId="0" xfId="3" applyFont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166" fontId="65" fillId="0" borderId="34" xfId="3" applyNumberFormat="1" applyFont="1" applyBorder="1" applyAlignment="1" applyProtection="1">
      <alignment horizontal="center" vertical="center"/>
      <protection locked="0"/>
    </xf>
    <xf numFmtId="0" fontId="65" fillId="0" borderId="34" xfId="3" applyFont="1" applyBorder="1" applyAlignment="1" applyProtection="1">
      <alignment horizontal="center" vertical="center" shrinkToFit="1"/>
      <protection locked="0"/>
    </xf>
    <xf numFmtId="0" fontId="65" fillId="0" borderId="34" xfId="3" applyFont="1" applyBorder="1" applyAlignment="1" applyProtection="1">
      <alignment horizontal="center" vertical="center"/>
      <protection locked="0"/>
    </xf>
    <xf numFmtId="0" fontId="65" fillId="0" borderId="34" xfId="0" applyFont="1" applyBorder="1" applyAlignment="1" applyProtection="1">
      <alignment horizontal="center" vertical="center"/>
      <protection locked="0"/>
    </xf>
    <xf numFmtId="0" fontId="71" fillId="0" borderId="34" xfId="0" applyFont="1" applyBorder="1" applyAlignment="1" applyProtection="1">
      <alignment horizontal="center" vertical="center"/>
      <protection locked="0"/>
    </xf>
    <xf numFmtId="0" fontId="70" fillId="0" borderId="34" xfId="0" applyFont="1" applyBorder="1" applyAlignment="1" applyProtection="1">
      <alignment horizontal="center" vertical="center"/>
      <protection locked="0"/>
    </xf>
    <xf numFmtId="0" fontId="66" fillId="0" borderId="34" xfId="0" applyFont="1" applyBorder="1"/>
    <xf numFmtId="0" fontId="66" fillId="0" borderId="34" xfId="0" applyFont="1" applyBorder="1" applyAlignment="1">
      <alignment horizontal="center"/>
    </xf>
    <xf numFmtId="166" fontId="72" fillId="0" borderId="0" xfId="3" applyNumberFormat="1" applyFont="1" applyAlignment="1" applyProtection="1">
      <alignment horizontal="center" vertical="center" shrinkToFit="1"/>
      <protection locked="0"/>
    </xf>
    <xf numFmtId="0" fontId="67" fillId="0" borderId="0" xfId="3" applyFont="1" applyProtection="1">
      <protection locked="0"/>
    </xf>
    <xf numFmtId="49" fontId="67" fillId="0" borderId="0" xfId="3" applyNumberFormat="1" applyFont="1" applyAlignment="1" applyProtection="1">
      <alignment horizontal="center" vertical="center"/>
      <protection locked="0"/>
    </xf>
    <xf numFmtId="164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166" fontId="72" fillId="0" borderId="0" xfId="3" applyNumberFormat="1" applyFont="1" applyAlignment="1" applyProtection="1">
      <alignment horizontal="center" vertical="center"/>
      <protection locked="0"/>
    </xf>
    <xf numFmtId="0" fontId="67" fillId="0" borderId="0" xfId="3" applyFont="1" applyAlignment="1" applyProtection="1">
      <alignment horizontal="left" vertical="center"/>
      <protection locked="0"/>
    </xf>
    <xf numFmtId="3" fontId="67" fillId="0" borderId="0" xfId="3" applyNumberFormat="1" applyFont="1" applyAlignment="1" applyProtection="1">
      <alignment horizontal="center" vertical="center"/>
      <protection locked="0" hidden="1"/>
    </xf>
    <xf numFmtId="164" fontId="72" fillId="0" borderId="0" xfId="3" applyNumberFormat="1" applyFont="1" applyAlignment="1" applyProtection="1">
      <alignment horizontal="center" vertical="center"/>
      <protection locked="0"/>
    </xf>
    <xf numFmtId="0" fontId="67" fillId="0" borderId="0" xfId="0" applyFont="1" applyAlignment="1" applyProtection="1">
      <alignment horizontal="center" vertical="center"/>
      <protection locked="0"/>
    </xf>
    <xf numFmtId="1" fontId="72" fillId="0" borderId="0" xfId="0" applyNumberFormat="1" applyFont="1" applyAlignment="1" applyProtection="1">
      <alignment horizontal="center" vertical="center" shrinkToFit="1"/>
      <protection locked="0"/>
    </xf>
    <xf numFmtId="0" fontId="72" fillId="0" borderId="0" xfId="0" applyFont="1" applyAlignment="1" applyProtection="1">
      <alignment horizontal="left" vertical="center"/>
      <protection locked="0"/>
    </xf>
    <xf numFmtId="37" fontId="67" fillId="0" borderId="0" xfId="6" applyNumberFormat="1" applyFont="1" applyFill="1" applyBorder="1" applyAlignment="1" applyProtection="1">
      <alignment horizontal="center" vertical="center"/>
      <protection locked="0"/>
    </xf>
    <xf numFmtId="167" fontId="66" fillId="0" borderId="0" xfId="0" applyNumberFormat="1" applyFont="1" applyAlignment="1" applyProtection="1">
      <alignment horizontal="center" vertical="center"/>
      <protection locked="0"/>
    </xf>
    <xf numFmtId="8" fontId="66" fillId="0" borderId="0" xfId="0" applyNumberFormat="1" applyFont="1" applyAlignment="1" applyProtection="1">
      <alignment horizontal="center" vertical="center"/>
      <protection locked="0"/>
    </xf>
    <xf numFmtId="3" fontId="67" fillId="0" borderId="0" xfId="0" applyNumberFormat="1" applyFont="1" applyAlignment="1" applyProtection="1">
      <alignment horizontal="center" vertical="center"/>
      <protection locked="0"/>
    </xf>
    <xf numFmtId="164" fontId="66" fillId="0" borderId="0" xfId="0" applyNumberFormat="1" applyFont="1" applyAlignment="1" applyProtection="1">
      <alignment horizontal="center" vertical="center"/>
      <protection locked="0"/>
    </xf>
    <xf numFmtId="0" fontId="66" fillId="0" borderId="0" xfId="0" applyFont="1" applyAlignment="1">
      <alignment horizontal="right"/>
    </xf>
    <xf numFmtId="49" fontId="67" fillId="0" borderId="34" xfId="0" applyNumberFormat="1" applyFont="1" applyBorder="1" applyAlignment="1">
      <alignment horizontal="center"/>
    </xf>
    <xf numFmtId="0" fontId="73" fillId="0" borderId="34" xfId="0" applyFont="1" applyBorder="1" applyAlignment="1">
      <alignment horizontal="center"/>
    </xf>
    <xf numFmtId="49" fontId="70" fillId="0" borderId="0" xfId="0" applyNumberFormat="1" applyFont="1" applyAlignment="1">
      <alignment horizontal="center"/>
    </xf>
    <xf numFmtId="49" fontId="71" fillId="0" borderId="0" xfId="0" applyNumberFormat="1" applyFont="1" applyAlignment="1">
      <alignment horizontal="center"/>
    </xf>
    <xf numFmtId="164" fontId="66" fillId="0" borderId="0" xfId="0" applyNumberFormat="1" applyFont="1" applyAlignment="1">
      <alignment horizontal="center"/>
    </xf>
    <xf numFmtId="164" fontId="70" fillId="0" borderId="0" xfId="0" applyNumberFormat="1" applyFont="1" applyAlignment="1">
      <alignment horizontal="center"/>
    </xf>
    <xf numFmtId="164" fontId="67" fillId="0" borderId="0" xfId="0" applyNumberFormat="1" applyFont="1" applyAlignment="1">
      <alignment horizontal="center"/>
    </xf>
    <xf numFmtId="49" fontId="70" fillId="0" borderId="34" xfId="0" applyNumberFormat="1" applyFont="1" applyBorder="1" applyAlignment="1">
      <alignment horizontal="center"/>
    </xf>
    <xf numFmtId="164" fontId="66" fillId="0" borderId="34" xfId="0" applyNumberFormat="1" applyFont="1" applyBorder="1" applyAlignment="1">
      <alignment horizontal="center"/>
    </xf>
    <xf numFmtId="164" fontId="70" fillId="0" borderId="34" xfId="0" applyNumberFormat="1" applyFont="1" applyBorder="1" applyAlignment="1">
      <alignment horizontal="center"/>
    </xf>
    <xf numFmtId="164" fontId="67" fillId="0" borderId="34" xfId="0" applyNumberFormat="1" applyFont="1" applyBorder="1" applyAlignment="1">
      <alignment horizontal="center"/>
    </xf>
    <xf numFmtId="0" fontId="70" fillId="0" borderId="34" xfId="0" applyFont="1" applyBorder="1" applyAlignment="1">
      <alignment horizontal="center"/>
    </xf>
    <xf numFmtId="0" fontId="70" fillId="0" borderId="34" xfId="0" applyFont="1" applyBorder="1"/>
    <xf numFmtId="6" fontId="66" fillId="0" borderId="0" xfId="0" applyNumberFormat="1" applyFont="1"/>
    <xf numFmtId="6" fontId="67" fillId="0" borderId="0" xfId="0" applyNumberFormat="1" applyFont="1" applyAlignment="1">
      <alignment horizontal="center"/>
    </xf>
    <xf numFmtId="6" fontId="66" fillId="0" borderId="0" xfId="0" applyNumberFormat="1" applyFont="1" applyAlignment="1">
      <alignment horizontal="center"/>
    </xf>
    <xf numFmtId="6" fontId="70" fillId="0" borderId="0" xfId="0" applyNumberFormat="1" applyFont="1" applyAlignment="1">
      <alignment horizontal="center"/>
    </xf>
    <xf numFmtId="0" fontId="74" fillId="0" borderId="0" xfId="0" applyFont="1"/>
    <xf numFmtId="168" fontId="67" fillId="0" borderId="0" xfId="3" applyNumberFormat="1" applyFont="1" applyProtection="1">
      <protection hidden="1"/>
    </xf>
    <xf numFmtId="3" fontId="67" fillId="0" borderId="0" xfId="3" applyNumberFormat="1" applyFont="1" applyAlignment="1">
      <alignment horizontal="center" vertical="center"/>
    </xf>
    <xf numFmtId="0" fontId="67" fillId="0" borderId="0" xfId="3" applyFont="1" applyAlignment="1">
      <alignment horizontal="center"/>
    </xf>
    <xf numFmtId="1" fontId="65" fillId="0" borderId="0" xfId="3" applyNumberFormat="1" applyFont="1" applyAlignment="1">
      <alignment horizontal="center"/>
    </xf>
    <xf numFmtId="0" fontId="66" fillId="0" borderId="33" xfId="0" applyFont="1" applyBorder="1" applyAlignment="1">
      <alignment horizontal="center"/>
    </xf>
    <xf numFmtId="0" fontId="67" fillId="0" borderId="40" xfId="3" applyFont="1" applyBorder="1"/>
    <xf numFmtId="37" fontId="67" fillId="0" borderId="32" xfId="3" applyNumberFormat="1" applyFont="1" applyBorder="1" applyAlignment="1">
      <alignment horizontal="center"/>
    </xf>
    <xf numFmtId="37" fontId="67" fillId="0" borderId="13" xfId="3" applyNumberFormat="1" applyFont="1" applyBorder="1" applyAlignment="1">
      <alignment horizontal="center"/>
    </xf>
    <xf numFmtId="0" fontId="66" fillId="0" borderId="38" xfId="0" applyFont="1" applyBorder="1" applyAlignment="1">
      <alignment horizontal="center"/>
    </xf>
    <xf numFmtId="37" fontId="67" fillId="0" borderId="16" xfId="3" applyNumberFormat="1" applyFont="1" applyBorder="1" applyAlignment="1" applyProtection="1">
      <alignment horizontal="center"/>
      <protection locked="0"/>
    </xf>
    <xf numFmtId="37" fontId="72" fillId="0" borderId="41" xfId="3" applyNumberFormat="1" applyFont="1" applyBorder="1" applyAlignment="1" applyProtection="1">
      <alignment horizontal="center"/>
      <protection locked="0"/>
    </xf>
    <xf numFmtId="37" fontId="72" fillId="0" borderId="10" xfId="3" applyNumberFormat="1" applyFont="1" applyBorder="1" applyAlignment="1" applyProtection="1">
      <alignment horizontal="center"/>
      <protection locked="0"/>
    </xf>
    <xf numFmtId="37" fontId="72" fillId="0" borderId="1" xfId="3" applyNumberFormat="1" applyFont="1" applyBorder="1" applyAlignment="1" applyProtection="1">
      <alignment horizontal="center"/>
      <protection locked="0"/>
    </xf>
    <xf numFmtId="37" fontId="66" fillId="0" borderId="0" xfId="0" applyNumberFormat="1" applyFont="1" applyAlignment="1">
      <alignment horizontal="center"/>
    </xf>
    <xf numFmtId="10" fontId="67" fillId="0" borderId="25" xfId="3" applyNumberFormat="1" applyFont="1" applyBorder="1" applyAlignment="1">
      <alignment horizontal="center"/>
    </xf>
    <xf numFmtId="37" fontId="67" fillId="0" borderId="10" xfId="3" applyNumberFormat="1" applyFont="1" applyBorder="1" applyAlignment="1">
      <alignment horizontal="center"/>
    </xf>
    <xf numFmtId="37" fontId="67" fillId="0" borderId="3" xfId="3" applyNumberFormat="1" applyFont="1" applyBorder="1" applyAlignment="1">
      <alignment horizontal="center"/>
    </xf>
    <xf numFmtId="37" fontId="67" fillId="0" borderId="1" xfId="3" applyNumberFormat="1" applyFont="1" applyBorder="1" applyAlignment="1">
      <alignment horizontal="center"/>
    </xf>
    <xf numFmtId="38" fontId="66" fillId="0" borderId="0" xfId="0" applyNumberFormat="1" applyFont="1" applyAlignment="1">
      <alignment horizontal="center"/>
    </xf>
    <xf numFmtId="38" fontId="67" fillId="0" borderId="0" xfId="0" applyNumberFormat="1" applyFont="1" applyAlignment="1">
      <alignment horizontal="center"/>
    </xf>
    <xf numFmtId="38" fontId="66" fillId="0" borderId="36" xfId="0" applyNumberFormat="1" applyFont="1" applyBorder="1" applyAlignment="1">
      <alignment horizontal="center"/>
    </xf>
    <xf numFmtId="38" fontId="67" fillId="0" borderId="34" xfId="3" applyNumberFormat="1" applyFont="1" applyBorder="1"/>
    <xf numFmtId="38" fontId="67" fillId="0" borderId="7" xfId="3" applyNumberFormat="1" applyFont="1" applyBorder="1" applyAlignment="1">
      <alignment horizontal="center"/>
    </xf>
    <xf numFmtId="38" fontId="67" fillId="0" borderId="5" xfId="3" applyNumberFormat="1" applyFont="1" applyBorder="1" applyAlignment="1">
      <alignment horizontal="center"/>
    </xf>
    <xf numFmtId="38" fontId="66" fillId="0" borderId="0" xfId="0" applyNumberFormat="1" applyFont="1"/>
    <xf numFmtId="0" fontId="67" fillId="0" borderId="0" xfId="3" applyFont="1"/>
    <xf numFmtId="0" fontId="67" fillId="0" borderId="0" xfId="3" applyFont="1" applyAlignment="1">
      <alignment horizontal="right"/>
    </xf>
    <xf numFmtId="38" fontId="67" fillId="0" borderId="0" xfId="3" applyNumberFormat="1" applyFont="1" applyAlignment="1">
      <alignment horizontal="center"/>
    </xf>
    <xf numFmtId="44" fontId="75" fillId="0" borderId="1" xfId="1" applyFont="1" applyBorder="1" applyAlignment="1">
      <alignment horizontal="center"/>
    </xf>
    <xf numFmtId="0" fontId="76" fillId="0" borderId="0" xfId="3" applyFont="1" applyAlignment="1" applyProtection="1">
      <alignment horizontal="left" vertical="center"/>
      <protection locked="0"/>
    </xf>
    <xf numFmtId="49" fontId="77" fillId="0" borderId="0" xfId="0" applyNumberFormat="1" applyFont="1" applyAlignment="1">
      <alignment horizontal="center"/>
    </xf>
    <xf numFmtId="49" fontId="78" fillId="0" borderId="0" xfId="0" applyNumberFormat="1" applyFont="1" applyAlignment="1">
      <alignment horizontal="center"/>
    </xf>
    <xf numFmtId="164" fontId="79" fillId="0" borderId="0" xfId="0" applyNumberFormat="1" applyFont="1" applyAlignment="1">
      <alignment horizontal="center"/>
    </xf>
    <xf numFmtId="164" fontId="77" fillId="0" borderId="0" xfId="0" applyNumberFormat="1" applyFont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/>
    <xf numFmtId="166" fontId="80" fillId="0" borderId="0" xfId="3" applyNumberFormat="1" applyFont="1" applyAlignment="1" applyProtection="1">
      <alignment horizontal="center" vertical="center"/>
      <protection locked="0"/>
    </xf>
    <xf numFmtId="166" fontId="80" fillId="0" borderId="0" xfId="3" applyNumberFormat="1" applyFont="1" applyAlignment="1" applyProtection="1">
      <alignment horizontal="center" vertical="center" shrinkToFit="1"/>
      <protection locked="0"/>
    </xf>
    <xf numFmtId="49" fontId="76" fillId="0" borderId="0" xfId="3" applyNumberFormat="1" applyFont="1" applyAlignment="1" applyProtection="1">
      <alignment horizontal="center" vertical="center"/>
      <protection locked="0"/>
    </xf>
    <xf numFmtId="3" fontId="76" fillId="0" borderId="0" xfId="3" applyNumberFormat="1" applyFont="1" applyAlignment="1" applyProtection="1">
      <alignment horizontal="center" vertical="center"/>
      <protection locked="0" hidden="1"/>
    </xf>
    <xf numFmtId="0" fontId="76" fillId="0" borderId="0" xfId="3" applyFont="1" applyAlignment="1" applyProtection="1">
      <alignment horizontal="center" vertical="center"/>
      <protection locked="0"/>
    </xf>
    <xf numFmtId="164" fontId="80" fillId="0" borderId="0" xfId="3" applyNumberFormat="1" applyFont="1" applyAlignment="1" applyProtection="1">
      <alignment horizontal="center" vertical="center"/>
      <protection locked="0"/>
    </xf>
    <xf numFmtId="164" fontId="78" fillId="0" borderId="0" xfId="0" applyNumberFormat="1" applyFont="1" applyAlignment="1">
      <alignment horizontal="center"/>
    </xf>
    <xf numFmtId="0" fontId="76" fillId="0" borderId="0" xfId="0" applyFont="1" applyAlignment="1" applyProtection="1">
      <alignment horizontal="center" vertical="center"/>
      <protection locked="0"/>
    </xf>
    <xf numFmtId="0" fontId="78" fillId="0" borderId="0" xfId="0" applyFont="1" applyAlignment="1">
      <alignment horizontal="center"/>
    </xf>
    <xf numFmtId="166" fontId="80" fillId="0" borderId="0" xfId="3" applyNumberFormat="1" applyFont="1" applyAlignment="1" applyProtection="1">
      <alignment horizontal="center"/>
      <protection locked="0"/>
    </xf>
    <xf numFmtId="0" fontId="76" fillId="0" borderId="0" xfId="3" applyFont="1" applyProtection="1">
      <protection locked="0"/>
    </xf>
    <xf numFmtId="3" fontId="76" fillId="0" borderId="0" xfId="3" applyNumberFormat="1" applyFont="1" applyAlignment="1" applyProtection="1">
      <alignment horizontal="center"/>
      <protection locked="0" hidden="1"/>
    </xf>
    <xf numFmtId="0" fontId="76" fillId="0" borderId="0" xfId="3" applyFont="1" applyAlignment="1" applyProtection="1">
      <alignment horizontal="center"/>
      <protection locked="0"/>
    </xf>
    <xf numFmtId="164" fontId="80" fillId="0" borderId="0" xfId="3" applyNumberFormat="1" applyFont="1" applyAlignment="1" applyProtection="1">
      <alignment horizontal="center"/>
      <protection locked="0"/>
    </xf>
    <xf numFmtId="0" fontId="76" fillId="0" borderId="0" xfId="0" applyFont="1" applyAlignment="1">
      <alignment horizontal="center"/>
    </xf>
    <xf numFmtId="37" fontId="67" fillId="0" borderId="42" xfId="3" applyNumberFormat="1" applyFont="1" applyBorder="1" applyAlignment="1">
      <alignment horizontal="center"/>
    </xf>
    <xf numFmtId="0" fontId="72" fillId="0" borderId="0" xfId="3" applyFont="1" applyProtection="1">
      <protection locked="0"/>
    </xf>
    <xf numFmtId="0" fontId="66" fillId="0" borderId="40" xfId="0" applyFont="1" applyBorder="1" applyAlignment="1">
      <alignment horizontal="center"/>
    </xf>
    <xf numFmtId="0" fontId="67" fillId="0" borderId="31" xfId="3" applyFont="1" applyBorder="1" applyAlignment="1">
      <alignment horizontal="right"/>
    </xf>
    <xf numFmtId="0" fontId="72" fillId="0" borderId="25" xfId="3" applyFont="1" applyBorder="1" applyAlignment="1" applyProtection="1">
      <alignment horizontal="right"/>
      <protection locked="0"/>
    </xf>
    <xf numFmtId="38" fontId="66" fillId="0" borderId="34" xfId="0" applyNumberFormat="1" applyFont="1" applyBorder="1" applyAlignment="1">
      <alignment horizontal="center"/>
    </xf>
    <xf numFmtId="38" fontId="67" fillId="0" borderId="43" xfId="3" applyNumberFormat="1" applyFont="1" applyBorder="1" applyAlignment="1">
      <alignment horizontal="right"/>
    </xf>
    <xf numFmtId="44" fontId="82" fillId="0" borderId="0" xfId="1" applyFont="1" applyBorder="1" applyAlignment="1">
      <alignment vertical="center"/>
    </xf>
    <xf numFmtId="174" fontId="6" fillId="0" borderId="0" xfId="1" applyNumberFormat="1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4" fillId="0" borderId="1" xfId="1" applyFont="1" applyBorder="1" applyAlignment="1">
      <alignment horizontal="right"/>
    </xf>
    <xf numFmtId="44" fontId="84" fillId="0" borderId="0" xfId="1" applyFont="1"/>
    <xf numFmtId="44" fontId="84" fillId="0" borderId="1" xfId="1" applyFont="1" applyBorder="1" applyAlignment="1">
      <alignment horizontal="left"/>
    </xf>
    <xf numFmtId="44" fontId="37" fillId="0" borderId="1" xfId="1" applyFont="1" applyBorder="1" applyAlignment="1">
      <alignment horizontal="left"/>
    </xf>
    <xf numFmtId="44" fontId="84" fillId="0" borderId="0" xfId="1" applyFont="1" applyBorder="1"/>
    <xf numFmtId="44" fontId="84" fillId="7" borderId="1" xfId="1" applyFont="1" applyFill="1" applyBorder="1" applyAlignment="1">
      <alignment horizontal="left"/>
    </xf>
    <xf numFmtId="44" fontId="37" fillId="0" borderId="0" xfId="1" applyFont="1"/>
    <xf numFmtId="44" fontId="84" fillId="0" borderId="0" xfId="1" applyFont="1" applyAlignment="1">
      <alignment horizontal="left"/>
    </xf>
    <xf numFmtId="44" fontId="84" fillId="0" borderId="0" xfId="1" applyFont="1" applyAlignment="1">
      <alignment horizontal="left" wrapText="1"/>
    </xf>
    <xf numFmtId="44" fontId="3" fillId="0" borderId="0" xfId="1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44" fontId="3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/>
    </xf>
    <xf numFmtId="44" fontId="86" fillId="2" borderId="0" xfId="1" applyFont="1" applyFill="1" applyBorder="1" applyAlignment="1">
      <alignment horizontal="center" vertical="center"/>
    </xf>
    <xf numFmtId="44" fontId="86" fillId="2" borderId="0" xfId="1" applyFont="1" applyFill="1" applyBorder="1" applyAlignment="1">
      <alignment horizontal="center" vertical="center" wrapText="1"/>
    </xf>
    <xf numFmtId="44" fontId="86" fillId="2" borderId="0" xfId="1" applyFont="1" applyFill="1" applyBorder="1" applyAlignment="1">
      <alignment horizontal="center"/>
    </xf>
    <xf numFmtId="44" fontId="81" fillId="0" borderId="0" xfId="1" applyFont="1" applyFill="1" applyBorder="1" applyAlignment="1">
      <alignment horizontal="center" vertical="center" wrapText="1"/>
    </xf>
    <xf numFmtId="44" fontId="87" fillId="0" borderId="0" xfId="1" applyFont="1" applyAlignment="1">
      <alignment horizontal="center"/>
    </xf>
    <xf numFmtId="44" fontId="83" fillId="3" borderId="40" xfId="1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 wrapText="1"/>
    </xf>
    <xf numFmtId="44" fontId="10" fillId="3" borderId="0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44" fontId="11" fillId="3" borderId="0" xfId="1" applyFont="1" applyFill="1" applyBorder="1" applyAlignment="1">
      <alignment horizontal="left" vertical="center" wrapText="1"/>
    </xf>
    <xf numFmtId="44" fontId="86" fillId="2" borderId="38" xfId="1" applyFont="1" applyFill="1" applyBorder="1" applyAlignment="1">
      <alignment horizontal="center" vertical="center"/>
    </xf>
    <xf numFmtId="44" fontId="86" fillId="2" borderId="25" xfId="1" applyFont="1" applyFill="1" applyBorder="1" applyAlignment="1">
      <alignment horizontal="center" vertical="center" wrapText="1"/>
    </xf>
    <xf numFmtId="44" fontId="4" fillId="0" borderId="11" xfId="1" applyFont="1" applyBorder="1" applyAlignment="1">
      <alignment horizontal="left"/>
    </xf>
    <xf numFmtId="44" fontId="84" fillId="0" borderId="9" xfId="1" applyFont="1" applyBorder="1" applyAlignment="1">
      <alignment horizontal="left" wrapText="1"/>
    </xf>
    <xf numFmtId="44" fontId="3" fillId="0" borderId="11" xfId="1" applyFont="1" applyBorder="1" applyAlignment="1">
      <alignment horizontal="left"/>
    </xf>
    <xf numFmtId="44" fontId="84" fillId="0" borderId="25" xfId="1" applyFont="1" applyBorder="1" applyAlignment="1">
      <alignment horizontal="left" wrapText="1"/>
    </xf>
    <xf numFmtId="44" fontId="37" fillId="0" borderId="25" xfId="1" applyFont="1" applyBorder="1" applyAlignment="1">
      <alignment horizontal="center" wrapText="1"/>
    </xf>
    <xf numFmtId="0" fontId="65" fillId="12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44" fontId="12" fillId="0" borderId="9" xfId="1" applyFont="1" applyBorder="1" applyAlignment="1">
      <alignment horizontal="left" wrapText="1"/>
    </xf>
    <xf numFmtId="44" fontId="84" fillId="0" borderId="9" xfId="1" applyFont="1" applyBorder="1"/>
    <xf numFmtId="0" fontId="12" fillId="0" borderId="9" xfId="0" applyFont="1" applyBorder="1" applyAlignment="1">
      <alignment horizontal="left" wrapText="1"/>
    </xf>
    <xf numFmtId="44" fontId="8" fillId="0" borderId="11" xfId="1" applyFont="1" applyBorder="1" applyAlignment="1">
      <alignment horizontal="left"/>
    </xf>
    <xf numFmtId="44" fontId="37" fillId="0" borderId="9" xfId="1" applyFont="1" applyBorder="1" applyAlignment="1">
      <alignment horizontal="left" wrapText="1"/>
    </xf>
    <xf numFmtId="44" fontId="3" fillId="0" borderId="8" xfId="1" applyFont="1" applyBorder="1" applyAlignment="1">
      <alignment horizontal="left"/>
    </xf>
    <xf numFmtId="44" fontId="3" fillId="0" borderId="5" xfId="1" applyFont="1" applyBorder="1" applyAlignment="1">
      <alignment horizontal="left"/>
    </xf>
    <xf numFmtId="44" fontId="84" fillId="0" borderId="5" xfId="1" applyFont="1" applyBorder="1" applyAlignment="1">
      <alignment horizontal="left"/>
    </xf>
    <xf numFmtId="44" fontId="84" fillId="0" borderId="4" xfId="1" applyFont="1" applyBorder="1" applyAlignment="1">
      <alignment horizontal="left" wrapText="1"/>
    </xf>
    <xf numFmtId="0" fontId="83" fillId="3" borderId="33" xfId="0" applyFont="1" applyFill="1" applyBorder="1" applyAlignment="1">
      <alignment vertical="center"/>
    </xf>
    <xf numFmtId="0" fontId="83" fillId="3" borderId="40" xfId="0" applyFont="1" applyFill="1" applyBorder="1" applyAlignment="1">
      <alignment vertical="center"/>
    </xf>
    <xf numFmtId="0" fontId="10" fillId="3" borderId="38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38" xfId="0" applyFont="1" applyFill="1" applyBorder="1" applyAlignment="1">
      <alignment vertical="center" wrapText="1"/>
    </xf>
    <xf numFmtId="167" fontId="85" fillId="12" borderId="44" xfId="0" applyNumberFormat="1" applyFont="1" applyFill="1" applyBorder="1" applyAlignment="1">
      <alignment horizontal="center" vertical="center" wrapText="1"/>
    </xf>
    <xf numFmtId="167" fontId="85" fillId="12" borderId="45" xfId="0" applyNumberFormat="1" applyFont="1" applyFill="1" applyBorder="1" applyAlignment="1">
      <alignment horizontal="center" vertical="center" wrapText="1"/>
    </xf>
    <xf numFmtId="0" fontId="41" fillId="0" borderId="0" xfId="3" applyFont="1" applyAlignment="1">
      <alignment horizontal="right" vertical="center"/>
    </xf>
    <xf numFmtId="0" fontId="39" fillId="0" borderId="0" xfId="3" applyFont="1" applyAlignment="1">
      <alignment horizontal="center"/>
    </xf>
    <xf numFmtId="0" fontId="64" fillId="0" borderId="0" xfId="3" applyFont="1" applyAlignment="1">
      <alignment horizontal="center" vertical="center"/>
    </xf>
    <xf numFmtId="0" fontId="10" fillId="3" borderId="4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44" fontId="87" fillId="0" borderId="1" xfId="1" applyFont="1" applyBorder="1" applyAlignment="1">
      <alignment horizontal="left"/>
    </xf>
  </cellXfs>
  <cellStyles count="8">
    <cellStyle name="Comma" xfId="6" builtinId="3"/>
    <cellStyle name="Currency" xfId="1" builtinId="4"/>
    <cellStyle name="Currency 2" xfId="5" xr:uid="{C6866322-381A-491E-97E3-6B5C244C177B}"/>
    <cellStyle name="Normal" xfId="0" builtinId="0"/>
    <cellStyle name="Normal 2" xfId="2" xr:uid="{E99009CD-D86F-4A86-826D-71B4AFEAB062}"/>
    <cellStyle name="Normal 2 2" xfId="3" xr:uid="{228AAB38-F7BC-4A01-AEE8-E8DF7671E55B}"/>
    <cellStyle name="Normal 3" xfId="4" xr:uid="{0113ADF9-316E-45C8-8978-03BCFE79DD45}"/>
    <cellStyle name="Percent" xfId="7" builtinId="5"/>
  </cellStyles>
  <dxfs count="29">
    <dxf>
      <fill>
        <patternFill>
          <bgColor rgb="FFE6B9B8"/>
        </patternFill>
      </fill>
    </dxf>
    <dxf>
      <fill>
        <patternFill>
          <bgColor rgb="FFDBDBDB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DBDBDB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6B9B8"/>
        </patternFill>
      </fill>
    </dxf>
    <dxf>
      <fill>
        <patternFill>
          <bgColor rgb="FFE6B9B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6B9B8"/>
        </patternFill>
      </fill>
    </dxf>
    <dxf>
      <fill>
        <patternFill>
          <bgColor rgb="FFE6B9B8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DBDBDB"/>
        </patternFill>
      </fill>
    </dxf>
  </dxfs>
  <tableStyles count="1" defaultTableStyle="TableStyleMedium9" defaultPivotStyle="PivotStyleLight16">
    <tableStyle name="Invisible" pivot="0" table="0" count="0" xr9:uid="{B6D3A029-3CF8-4872-928B-4104C59901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Kub/Dropbox/Personal%20files/Custom%20Reserves/Inspected%202022/21.1008%20-%20Fairway%20Village%20Association/Report%20Docs/21.1008%20-%20Fairway%20Village%20Spreadsheets%20-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1 Exp-Comp"/>
      <sheetName val="test"/>
      <sheetName val="Cash Flow 1"/>
      <sheetName val="Component by Year Model"/>
      <sheetName val="2 Exp-Comp"/>
      <sheetName val="Cash Flow 2"/>
      <sheetName val="3 Exp-Comp"/>
      <sheetName val="Cash Flow 3"/>
      <sheetName val="4 Exp-Comp"/>
      <sheetName val="Cash Flow 4"/>
      <sheetName val="5 Exp-Comp"/>
      <sheetName val="Cash Flow 5"/>
      <sheetName val="Pie"/>
      <sheetName val="Stacked Bar"/>
      <sheetName val="Line Chart"/>
      <sheetName val="Roof Calc"/>
      <sheetName val="Component"/>
      <sheetName val="Prop Comp Model"/>
      <sheetName val="Condition Model"/>
    </sheetNames>
    <sheetDataSet>
      <sheetData sheetId="0">
        <row r="9">
          <cell r="B9">
            <v>2022</v>
          </cell>
        </row>
        <row r="10">
          <cell r="C10">
            <v>44561</v>
          </cell>
        </row>
      </sheetData>
      <sheetData sheetId="1"/>
      <sheetData sheetId="2"/>
      <sheetData sheetId="3">
        <row r="39">
          <cell r="N39">
            <v>2022</v>
          </cell>
        </row>
        <row r="48">
          <cell r="D48">
            <v>44197</v>
          </cell>
        </row>
        <row r="61">
          <cell r="D61" t="str">
            <v>Secondary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showWhiteSpace="0" topLeftCell="A53" zoomScale="85" zoomScaleNormal="85" workbookViewId="0">
      <selection activeCell="A58" sqref="A58:XFD58"/>
    </sheetView>
  </sheetViews>
  <sheetFormatPr defaultColWidth="9.1640625" defaultRowHeight="15.5" x14ac:dyDescent="0.35"/>
  <cols>
    <col min="1" max="1" width="7.1640625" style="372" bestFit="1" customWidth="1"/>
    <col min="2" max="2" width="42.5" style="372" bestFit="1" customWidth="1"/>
    <col min="3" max="6" width="14.33203125" style="372" bestFit="1" customWidth="1"/>
    <col min="7" max="7" width="75" style="373" customWidth="1"/>
    <col min="8" max="8" width="11.5" style="366" bestFit="1" customWidth="1"/>
    <col min="9" max="16384" width="9.1640625" style="366"/>
  </cols>
  <sheetData>
    <row r="1" spans="1:11" s="3" customFormat="1" ht="16" x14ac:dyDescent="0.3">
      <c r="A1" s="406" t="s">
        <v>75</v>
      </c>
      <c r="B1" s="407"/>
      <c r="C1" s="407"/>
      <c r="D1" s="407"/>
      <c r="E1" s="383"/>
      <c r="F1" s="416"/>
      <c r="G1" s="384"/>
    </row>
    <row r="2" spans="1:11" s="3" customFormat="1" ht="16" x14ac:dyDescent="0.3">
      <c r="A2" s="408" t="s">
        <v>76</v>
      </c>
      <c r="B2" s="409"/>
      <c r="C2" s="409"/>
      <c r="D2" s="409"/>
      <c r="E2" s="385"/>
      <c r="F2" s="417"/>
      <c r="G2" s="386"/>
    </row>
    <row r="3" spans="1:11" s="3" customFormat="1" ht="16" x14ac:dyDescent="0.3">
      <c r="A3" s="410" t="s">
        <v>78</v>
      </c>
      <c r="B3" s="409"/>
      <c r="C3" s="409"/>
      <c r="D3" s="409"/>
      <c r="E3" s="387"/>
      <c r="F3" s="417"/>
      <c r="G3" s="386"/>
    </row>
    <row r="4" spans="1:11" s="3" customFormat="1" ht="16" x14ac:dyDescent="0.3">
      <c r="A4" s="408" t="s">
        <v>77</v>
      </c>
      <c r="B4" s="409"/>
      <c r="C4" s="409"/>
      <c r="D4" s="409"/>
      <c r="E4" s="385"/>
      <c r="F4" s="417"/>
      <c r="G4" s="386"/>
    </row>
    <row r="5" spans="1:11" s="382" customFormat="1" ht="16" x14ac:dyDescent="0.4">
      <c r="A5" s="388" t="s">
        <v>32</v>
      </c>
      <c r="B5" s="378" t="s">
        <v>0</v>
      </c>
      <c r="C5" s="379" t="s">
        <v>81</v>
      </c>
      <c r="D5" s="379" t="s">
        <v>82</v>
      </c>
      <c r="E5" s="379" t="s">
        <v>83</v>
      </c>
      <c r="F5" s="380" t="s">
        <v>84</v>
      </c>
      <c r="G5" s="389" t="s">
        <v>33</v>
      </c>
      <c r="H5" s="381"/>
      <c r="I5" s="381"/>
      <c r="J5" s="4"/>
      <c r="K5" s="4"/>
    </row>
    <row r="6" spans="1:11" x14ac:dyDescent="0.35">
      <c r="A6" s="390"/>
      <c r="B6" s="332" t="s">
        <v>269</v>
      </c>
      <c r="C6" s="5"/>
      <c r="D6" s="5"/>
      <c r="E6" s="367"/>
      <c r="F6" s="367"/>
      <c r="G6" s="391"/>
    </row>
    <row r="7" spans="1:11" x14ac:dyDescent="0.35">
      <c r="A7" s="392" t="s">
        <v>1</v>
      </c>
      <c r="B7" s="6" t="s">
        <v>36</v>
      </c>
      <c r="C7" s="6">
        <v>102840.4</v>
      </c>
      <c r="D7" s="6">
        <v>100020.01</v>
      </c>
      <c r="E7" s="367">
        <f>D7/10*12</f>
        <v>120024.012</v>
      </c>
      <c r="F7" s="367">
        <f>F65</f>
        <v>101599.81</v>
      </c>
      <c r="G7" s="393"/>
    </row>
    <row r="8" spans="1:11" x14ac:dyDescent="0.35">
      <c r="A8" s="392" t="s">
        <v>2</v>
      </c>
      <c r="B8" s="6" t="s">
        <v>272</v>
      </c>
      <c r="C8" s="6">
        <v>23000</v>
      </c>
      <c r="D8" s="6">
        <v>15333.36</v>
      </c>
      <c r="E8" s="6">
        <v>23000</v>
      </c>
      <c r="F8" s="367">
        <v>22000</v>
      </c>
      <c r="G8" s="393"/>
    </row>
    <row r="9" spans="1:11" x14ac:dyDescent="0.35">
      <c r="A9" s="392"/>
      <c r="B9" s="6" t="s">
        <v>273</v>
      </c>
      <c r="C9" s="6"/>
      <c r="D9" s="6"/>
      <c r="E9" s="6"/>
      <c r="F9" s="367">
        <v>13000</v>
      </c>
      <c r="G9" s="393"/>
    </row>
    <row r="10" spans="1:11" x14ac:dyDescent="0.35">
      <c r="A10" s="392"/>
      <c r="B10" s="367" t="s">
        <v>274</v>
      </c>
      <c r="C10" s="6"/>
      <c r="D10" s="6"/>
      <c r="E10" s="6"/>
      <c r="F10" s="367">
        <v>2000</v>
      </c>
      <c r="G10" s="393"/>
    </row>
    <row r="11" spans="1:11" x14ac:dyDescent="0.35">
      <c r="A11" s="390"/>
      <c r="B11" s="365" t="s">
        <v>280</v>
      </c>
      <c r="C11" s="5">
        <v>125840.4</v>
      </c>
      <c r="D11" s="5">
        <v>115937.63</v>
      </c>
      <c r="E11" s="368">
        <f>SUM(E7:E8)</f>
        <v>143024.01199999999</v>
      </c>
      <c r="F11" s="368">
        <f>SUM(F7:F10)</f>
        <v>138599.81</v>
      </c>
      <c r="G11" s="394" t="s">
        <v>271</v>
      </c>
    </row>
    <row r="12" spans="1:11" ht="16" customHeight="1" x14ac:dyDescent="0.35">
      <c r="A12" s="392"/>
      <c r="B12" s="6"/>
      <c r="C12" s="6"/>
      <c r="D12" s="6"/>
      <c r="E12" s="367"/>
      <c r="F12" s="367"/>
      <c r="G12" s="395" t="s">
        <v>201</v>
      </c>
    </row>
    <row r="13" spans="1:11" x14ac:dyDescent="0.35">
      <c r="A13" s="390"/>
      <c r="B13" s="332" t="s">
        <v>270</v>
      </c>
      <c r="C13" s="5"/>
      <c r="D13" s="5"/>
      <c r="E13" s="367"/>
      <c r="F13" s="367"/>
      <c r="G13" s="411">
        <f>+(F11/22)/4</f>
        <v>1574.9978409090909</v>
      </c>
    </row>
    <row r="14" spans="1:11" x14ac:dyDescent="0.35">
      <c r="A14" s="390"/>
      <c r="B14" s="5" t="s">
        <v>37</v>
      </c>
      <c r="C14" s="5"/>
      <c r="D14" s="5"/>
      <c r="E14" s="367"/>
      <c r="F14" s="367"/>
      <c r="G14" s="412"/>
    </row>
    <row r="15" spans="1:11" x14ac:dyDescent="0.35">
      <c r="A15" s="392" t="s">
        <v>3</v>
      </c>
      <c r="B15" s="6" t="s">
        <v>38</v>
      </c>
      <c r="C15" s="6">
        <v>6600</v>
      </c>
      <c r="D15" s="6">
        <v>5500</v>
      </c>
      <c r="E15" s="6">
        <v>6600</v>
      </c>
      <c r="F15" s="367">
        <v>6924</v>
      </c>
      <c r="G15" s="391" t="s">
        <v>85</v>
      </c>
    </row>
    <row r="16" spans="1:11" x14ac:dyDescent="0.35">
      <c r="A16" s="392" t="s">
        <v>4</v>
      </c>
      <c r="B16" s="6" t="s">
        <v>39</v>
      </c>
      <c r="C16" s="6">
        <v>600</v>
      </c>
      <c r="D16" s="6">
        <v>422.6</v>
      </c>
      <c r="E16" s="6">
        <f>D16+70</f>
        <v>492.6</v>
      </c>
      <c r="F16" s="367">
        <v>625</v>
      </c>
      <c r="G16" s="391"/>
    </row>
    <row r="17" spans="1:11" x14ac:dyDescent="0.35">
      <c r="A17" s="392" t="s">
        <v>5</v>
      </c>
      <c r="B17" s="6" t="s">
        <v>40</v>
      </c>
      <c r="C17" s="6">
        <v>2750</v>
      </c>
      <c r="D17" s="6">
        <v>175</v>
      </c>
      <c r="E17" s="6">
        <v>175</v>
      </c>
      <c r="F17" s="367">
        <v>500</v>
      </c>
      <c r="G17" s="391" t="s">
        <v>277</v>
      </c>
    </row>
    <row r="18" spans="1:11" x14ac:dyDescent="0.35">
      <c r="A18" s="392" t="s">
        <v>6</v>
      </c>
      <c r="B18" s="6" t="s">
        <v>41</v>
      </c>
      <c r="C18" s="6">
        <v>88</v>
      </c>
      <c r="D18" s="6">
        <v>88</v>
      </c>
      <c r="E18" s="6">
        <v>88</v>
      </c>
      <c r="F18" s="367">
        <v>88</v>
      </c>
      <c r="G18" s="396" t="s">
        <v>86</v>
      </c>
    </row>
    <row r="19" spans="1:11" x14ac:dyDescent="0.35">
      <c r="A19" s="392" t="s">
        <v>7</v>
      </c>
      <c r="B19" s="6" t="s">
        <v>42</v>
      </c>
      <c r="C19" s="6">
        <v>61</v>
      </c>
      <c r="D19" s="6">
        <v>61.25</v>
      </c>
      <c r="E19" s="6">
        <v>61</v>
      </c>
      <c r="F19" s="367">
        <v>62</v>
      </c>
      <c r="G19" s="396" t="s">
        <v>87</v>
      </c>
    </row>
    <row r="20" spans="1:11" x14ac:dyDescent="0.35">
      <c r="A20" s="392" t="s">
        <v>8</v>
      </c>
      <c r="B20" s="6" t="s">
        <v>43</v>
      </c>
      <c r="C20" s="6">
        <v>0</v>
      </c>
      <c r="D20" s="6">
        <v>2200</v>
      </c>
      <c r="E20" s="6">
        <v>0</v>
      </c>
      <c r="F20" s="367">
        <f>E20</f>
        <v>0</v>
      </c>
      <c r="G20" s="397" t="s">
        <v>35</v>
      </c>
    </row>
    <row r="21" spans="1:11" x14ac:dyDescent="0.35">
      <c r="A21" s="392" t="s">
        <v>9</v>
      </c>
      <c r="B21" s="6" t="s">
        <v>44</v>
      </c>
      <c r="C21" s="6">
        <v>450</v>
      </c>
      <c r="D21" s="6">
        <v>450</v>
      </c>
      <c r="E21" s="6">
        <v>450</v>
      </c>
      <c r="F21" s="367">
        <v>450</v>
      </c>
      <c r="G21" s="396" t="s">
        <v>88</v>
      </c>
    </row>
    <row r="22" spans="1:11" x14ac:dyDescent="0.35">
      <c r="A22" s="392" t="s">
        <v>10</v>
      </c>
      <c r="B22" s="6" t="s">
        <v>45</v>
      </c>
      <c r="C22" s="6">
        <v>300</v>
      </c>
      <c r="D22" s="6">
        <v>174.39</v>
      </c>
      <c r="E22" s="6">
        <v>174.39</v>
      </c>
      <c r="F22" s="367">
        <v>0</v>
      </c>
      <c r="G22" s="396" t="s">
        <v>89</v>
      </c>
    </row>
    <row r="23" spans="1:11" x14ac:dyDescent="0.35">
      <c r="A23" s="392" t="s">
        <v>11</v>
      </c>
      <c r="B23" s="6" t="s">
        <v>79</v>
      </c>
      <c r="C23" s="6">
        <v>250</v>
      </c>
      <c r="D23" s="6">
        <v>174.39</v>
      </c>
      <c r="E23" s="6">
        <v>174.39</v>
      </c>
      <c r="F23" s="367">
        <v>250</v>
      </c>
      <c r="G23" s="396" t="s">
        <v>91</v>
      </c>
    </row>
    <row r="24" spans="1:11" x14ac:dyDescent="0.35">
      <c r="A24" s="390"/>
      <c r="B24" s="365" t="s">
        <v>46</v>
      </c>
      <c r="C24" s="5">
        <f>C23+C22+C21+C20+C19+C18+C17+C16+C15</f>
        <v>11099</v>
      </c>
      <c r="D24" s="5">
        <f>D23+D22+D21+D20+D19+D18+D17+D16+D15</f>
        <v>9245.6299999999992</v>
      </c>
      <c r="E24" s="368">
        <f>SUM(E15:E23)</f>
        <v>8215.380000000001</v>
      </c>
      <c r="F24" s="368">
        <f>SUM(F15:F23)</f>
        <v>8899</v>
      </c>
      <c r="G24" s="398"/>
    </row>
    <row r="25" spans="1:11" x14ac:dyDescent="0.35">
      <c r="A25" s="390"/>
      <c r="B25" s="5"/>
      <c r="C25" s="5"/>
      <c r="D25" s="5"/>
      <c r="E25" s="368"/>
      <c r="F25" s="368"/>
      <c r="G25" s="398"/>
    </row>
    <row r="26" spans="1:11" x14ac:dyDescent="0.35">
      <c r="A26" s="390"/>
      <c r="B26" s="5" t="s">
        <v>47</v>
      </c>
      <c r="C26" s="5"/>
      <c r="D26" s="5"/>
      <c r="E26" s="367"/>
      <c r="F26" s="367"/>
      <c r="G26" s="397"/>
      <c r="H26" s="369"/>
      <c r="I26" s="369"/>
      <c r="J26" s="369"/>
      <c r="K26" s="369"/>
    </row>
    <row r="27" spans="1:11" ht="16" x14ac:dyDescent="0.35">
      <c r="A27" s="392" t="s">
        <v>12</v>
      </c>
      <c r="B27" s="6" t="s">
        <v>48</v>
      </c>
      <c r="C27" s="6">
        <v>48971</v>
      </c>
      <c r="D27" s="6">
        <v>33369.599999999999</v>
      </c>
      <c r="E27" s="6">
        <v>48550.75</v>
      </c>
      <c r="F27" s="370">
        <f>13281+36805.86+959.75+1833.2</f>
        <v>52879.81</v>
      </c>
      <c r="G27" s="397" t="s">
        <v>275</v>
      </c>
      <c r="H27" s="362"/>
      <c r="I27" s="3"/>
      <c r="J27" s="363"/>
      <c r="K27" s="364"/>
    </row>
    <row r="28" spans="1:11" ht="16" x14ac:dyDescent="0.35">
      <c r="A28" s="392" t="s">
        <v>13</v>
      </c>
      <c r="B28" s="6" t="s">
        <v>49</v>
      </c>
      <c r="C28" s="6">
        <v>380</v>
      </c>
      <c r="D28" s="6">
        <v>0</v>
      </c>
      <c r="E28" s="6">
        <v>380</v>
      </c>
      <c r="F28" s="367">
        <v>380</v>
      </c>
      <c r="G28" s="396" t="s">
        <v>90</v>
      </c>
      <c r="H28" s="364"/>
      <c r="I28" s="3"/>
      <c r="J28" s="363"/>
      <c r="K28" s="364"/>
    </row>
    <row r="29" spans="1:11" x14ac:dyDescent="0.35">
      <c r="A29" s="390"/>
      <c r="B29" s="365" t="s">
        <v>50</v>
      </c>
      <c r="C29" s="5">
        <f>C28+C27</f>
        <v>49351</v>
      </c>
      <c r="D29" s="5">
        <f>D28+D27</f>
        <v>33369.599999999999</v>
      </c>
      <c r="E29" s="368">
        <f>E28+E27</f>
        <v>48930.75</v>
      </c>
      <c r="F29" s="368">
        <f>SUM(F27:F28)</f>
        <v>53259.81</v>
      </c>
      <c r="G29" s="391"/>
      <c r="H29" s="369"/>
      <c r="I29" s="369"/>
      <c r="J29" s="369"/>
      <c r="K29" s="369"/>
    </row>
    <row r="30" spans="1:11" x14ac:dyDescent="0.35">
      <c r="A30" s="390"/>
      <c r="B30" s="5"/>
      <c r="C30" s="5"/>
      <c r="D30" s="5"/>
      <c r="E30" s="368"/>
      <c r="F30" s="368"/>
      <c r="G30" s="391"/>
      <c r="H30" s="369"/>
      <c r="I30" s="369"/>
      <c r="J30" s="369"/>
      <c r="K30" s="369"/>
    </row>
    <row r="31" spans="1:11" x14ac:dyDescent="0.35">
      <c r="A31" s="390"/>
      <c r="B31" s="5" t="s">
        <v>51</v>
      </c>
      <c r="C31" s="5"/>
      <c r="D31" s="5"/>
      <c r="E31" s="367"/>
      <c r="F31" s="367"/>
      <c r="G31" s="391"/>
    </row>
    <row r="32" spans="1:11" x14ac:dyDescent="0.35">
      <c r="A32" s="392" t="s">
        <v>14</v>
      </c>
      <c r="B32" s="6" t="s">
        <v>52</v>
      </c>
      <c r="C32" s="6">
        <v>5183</v>
      </c>
      <c r="D32" s="6">
        <v>3088.03</v>
      </c>
      <c r="E32" s="367">
        <f>D32/10*12</f>
        <v>3705.636</v>
      </c>
      <c r="F32" s="367">
        <v>5183</v>
      </c>
      <c r="G32" s="391" t="s">
        <v>92</v>
      </c>
    </row>
    <row r="33" spans="1:7" x14ac:dyDescent="0.35">
      <c r="A33" s="392" t="s">
        <v>15</v>
      </c>
      <c r="B33" s="6" t="s">
        <v>53</v>
      </c>
      <c r="C33" s="6">
        <v>500</v>
      </c>
      <c r="D33" s="6">
        <v>0</v>
      </c>
      <c r="E33" s="367">
        <v>500</v>
      </c>
      <c r="F33" s="367">
        <v>500</v>
      </c>
      <c r="G33" s="391" t="s">
        <v>92</v>
      </c>
    </row>
    <row r="34" spans="1:7" x14ac:dyDescent="0.35">
      <c r="A34" s="392" t="s">
        <v>16</v>
      </c>
      <c r="B34" s="6" t="s">
        <v>54</v>
      </c>
      <c r="C34" s="6">
        <v>4200</v>
      </c>
      <c r="D34" s="6">
        <v>3500</v>
      </c>
      <c r="E34" s="367">
        <v>4200</v>
      </c>
      <c r="F34" s="367">
        <v>4200</v>
      </c>
      <c r="G34" s="391" t="s">
        <v>93</v>
      </c>
    </row>
    <row r="35" spans="1:7" x14ac:dyDescent="0.35">
      <c r="A35" s="392" t="s">
        <v>17</v>
      </c>
      <c r="B35" s="6" t="s">
        <v>55</v>
      </c>
      <c r="C35" s="6">
        <v>2700</v>
      </c>
      <c r="D35" s="6">
        <v>2495</v>
      </c>
      <c r="E35" s="367">
        <v>2700</v>
      </c>
      <c r="F35" s="367">
        <v>1000</v>
      </c>
      <c r="G35" s="391" t="s">
        <v>202</v>
      </c>
    </row>
    <row r="36" spans="1:7" x14ac:dyDescent="0.35">
      <c r="A36" s="392" t="s">
        <v>18</v>
      </c>
      <c r="B36" s="6" t="s">
        <v>56</v>
      </c>
      <c r="C36" s="6">
        <v>1440</v>
      </c>
      <c r="D36" s="6">
        <v>960</v>
      </c>
      <c r="E36" s="367">
        <v>1440</v>
      </c>
      <c r="F36" s="367">
        <f>125*12</f>
        <v>1500</v>
      </c>
      <c r="G36" s="391" t="s">
        <v>94</v>
      </c>
    </row>
    <row r="37" spans="1:7" x14ac:dyDescent="0.35">
      <c r="A37" s="392" t="s">
        <v>19</v>
      </c>
      <c r="B37" s="6" t="s">
        <v>57</v>
      </c>
      <c r="C37" s="6">
        <v>180</v>
      </c>
      <c r="D37" s="6">
        <v>90</v>
      </c>
      <c r="E37" s="367">
        <v>180</v>
      </c>
      <c r="F37" s="367">
        <v>200</v>
      </c>
      <c r="G37" s="391" t="s">
        <v>94</v>
      </c>
    </row>
    <row r="38" spans="1:7" x14ac:dyDescent="0.35">
      <c r="A38" s="392" t="s">
        <v>20</v>
      </c>
      <c r="B38" s="6" t="s">
        <v>58</v>
      </c>
      <c r="C38" s="6">
        <v>0</v>
      </c>
      <c r="D38" s="6">
        <v>83500</v>
      </c>
      <c r="E38" s="6">
        <v>83500</v>
      </c>
      <c r="F38" s="367">
        <v>0</v>
      </c>
      <c r="G38" s="391"/>
    </row>
    <row r="39" spans="1:7" x14ac:dyDescent="0.35">
      <c r="A39" s="390"/>
      <c r="B39" s="365" t="s">
        <v>279</v>
      </c>
      <c r="C39" s="5">
        <f>C38+C37+C36+C35+C34+C33+C32</f>
        <v>14203</v>
      </c>
      <c r="D39" s="5">
        <f>D38+D37+D36+D35+D34+D33+D32</f>
        <v>93633.03</v>
      </c>
      <c r="E39" s="368">
        <f>E38+E37+E36+E35+E34+E33+E32</f>
        <v>96225.635999999999</v>
      </c>
      <c r="F39" s="368">
        <f>SUM(F32:F38)</f>
        <v>12583</v>
      </c>
      <c r="G39" s="391"/>
    </row>
    <row r="40" spans="1:7" x14ac:dyDescent="0.35">
      <c r="A40" s="390"/>
      <c r="B40" s="5"/>
      <c r="C40" s="5"/>
      <c r="D40" s="5"/>
      <c r="E40" s="368"/>
      <c r="F40" s="368"/>
      <c r="G40" s="391"/>
    </row>
    <row r="41" spans="1:7" x14ac:dyDescent="0.35">
      <c r="A41" s="390"/>
      <c r="B41" s="5" t="s">
        <v>59</v>
      </c>
      <c r="C41" s="5"/>
      <c r="D41" s="5"/>
      <c r="E41" s="367"/>
      <c r="F41" s="367"/>
      <c r="G41" s="391"/>
    </row>
    <row r="42" spans="1:7" ht="31" x14ac:dyDescent="0.35">
      <c r="A42" s="392" t="s">
        <v>21</v>
      </c>
      <c r="B42" s="6" t="s">
        <v>80</v>
      </c>
      <c r="C42" s="6">
        <v>2000</v>
      </c>
      <c r="D42" s="6">
        <v>9231.2999999999993</v>
      </c>
      <c r="E42" s="6">
        <v>9231.2999999999993</v>
      </c>
      <c r="F42" s="367">
        <v>2000</v>
      </c>
      <c r="G42" s="391" t="s">
        <v>95</v>
      </c>
    </row>
    <row r="43" spans="1:7" x14ac:dyDescent="0.35">
      <c r="A43" s="390"/>
      <c r="B43" s="365" t="s">
        <v>60</v>
      </c>
      <c r="C43" s="5">
        <v>2000</v>
      </c>
      <c r="D43" s="5">
        <v>9231.2999999999993</v>
      </c>
      <c r="E43" s="7">
        <v>9231.2999999999993</v>
      </c>
      <c r="F43" s="368">
        <v>2000</v>
      </c>
      <c r="G43" s="391"/>
    </row>
    <row r="44" spans="1:7" x14ac:dyDescent="0.35">
      <c r="A44" s="390"/>
      <c r="B44" s="5"/>
      <c r="C44" s="5"/>
      <c r="D44" s="5"/>
      <c r="E44" s="7"/>
      <c r="F44" s="368"/>
      <c r="G44" s="391"/>
    </row>
    <row r="45" spans="1:7" x14ac:dyDescent="0.35">
      <c r="A45" s="390"/>
      <c r="B45" s="5" t="s">
        <v>61</v>
      </c>
      <c r="C45" s="5"/>
      <c r="D45" s="5"/>
      <c r="E45" s="367"/>
      <c r="F45" s="367"/>
      <c r="G45" s="391"/>
    </row>
    <row r="46" spans="1:7" x14ac:dyDescent="0.35">
      <c r="A46" s="392" t="s">
        <v>22</v>
      </c>
      <c r="B46" s="6" t="s">
        <v>62</v>
      </c>
      <c r="C46" s="6">
        <v>5928</v>
      </c>
      <c r="D46" s="6">
        <v>4997.7299999999996</v>
      </c>
      <c r="E46" s="367">
        <v>5928</v>
      </c>
      <c r="F46" s="367">
        <v>6168</v>
      </c>
      <c r="G46" s="391" t="s">
        <v>96</v>
      </c>
    </row>
    <row r="47" spans="1:7" x14ac:dyDescent="0.35">
      <c r="A47" s="392" t="s">
        <v>23</v>
      </c>
      <c r="B47" s="6" t="s">
        <v>63</v>
      </c>
      <c r="C47" s="6">
        <v>1000</v>
      </c>
      <c r="D47" s="6">
        <v>0</v>
      </c>
      <c r="E47" s="367">
        <v>0</v>
      </c>
      <c r="F47" s="367">
        <v>1000</v>
      </c>
      <c r="G47" s="391" t="s">
        <v>97</v>
      </c>
    </row>
    <row r="48" spans="1:7" x14ac:dyDescent="0.35">
      <c r="A48" s="392" t="s">
        <v>24</v>
      </c>
      <c r="B48" s="6" t="s">
        <v>64</v>
      </c>
      <c r="C48" s="6">
        <v>1450</v>
      </c>
      <c r="D48" s="6">
        <v>1419.5</v>
      </c>
      <c r="E48" s="367">
        <v>1419.5</v>
      </c>
      <c r="F48" s="367">
        <v>1250</v>
      </c>
      <c r="G48" s="397" t="s">
        <v>276</v>
      </c>
    </row>
    <row r="49" spans="1:7" x14ac:dyDescent="0.35">
      <c r="A49" s="392" t="s">
        <v>25</v>
      </c>
      <c r="B49" s="6" t="s">
        <v>65</v>
      </c>
      <c r="C49" s="6">
        <v>1450</v>
      </c>
      <c r="D49" s="6">
        <v>400</v>
      </c>
      <c r="E49" s="367">
        <v>400</v>
      </c>
      <c r="F49" s="367">
        <v>1450</v>
      </c>
      <c r="G49" s="391" t="s">
        <v>98</v>
      </c>
    </row>
    <row r="50" spans="1:7" x14ac:dyDescent="0.35">
      <c r="A50" s="390"/>
      <c r="B50" s="365" t="s">
        <v>66</v>
      </c>
      <c r="C50" s="5">
        <f>C49+C48+C47+C46</f>
        <v>9828</v>
      </c>
      <c r="D50" s="5">
        <f>D49+D48+D47+D46</f>
        <v>6817.23</v>
      </c>
      <c r="E50" s="368">
        <f>E49+E48+E47+E46</f>
        <v>7747.5</v>
      </c>
      <c r="F50" s="368">
        <f>SUM(F46:F49)</f>
        <v>9868</v>
      </c>
      <c r="G50" s="391"/>
    </row>
    <row r="51" spans="1:7" x14ac:dyDescent="0.35">
      <c r="A51" s="390"/>
      <c r="B51" s="5"/>
      <c r="C51" s="5"/>
      <c r="D51" s="5"/>
      <c r="E51" s="367"/>
      <c r="F51" s="367"/>
      <c r="G51" s="391"/>
    </row>
    <row r="52" spans="1:7" x14ac:dyDescent="0.35">
      <c r="A52" s="390"/>
      <c r="B52" s="5" t="s">
        <v>67</v>
      </c>
      <c r="C52" s="5"/>
      <c r="D52" s="5"/>
      <c r="E52" s="367"/>
      <c r="F52" s="367"/>
      <c r="G52" s="391"/>
    </row>
    <row r="53" spans="1:7" ht="31" x14ac:dyDescent="0.35">
      <c r="A53" s="392" t="s">
        <v>26</v>
      </c>
      <c r="B53" s="6" t="s">
        <v>68</v>
      </c>
      <c r="C53" s="6">
        <v>1150</v>
      </c>
      <c r="D53" s="6">
        <v>654.72</v>
      </c>
      <c r="E53" s="367">
        <f>D53/10*12</f>
        <v>785.6640000000001</v>
      </c>
      <c r="F53" s="367">
        <v>1150</v>
      </c>
      <c r="G53" s="399" t="s">
        <v>34</v>
      </c>
    </row>
    <row r="54" spans="1:7" ht="31" x14ac:dyDescent="0.35">
      <c r="A54" s="392" t="s">
        <v>27</v>
      </c>
      <c r="B54" s="6" t="s">
        <v>69</v>
      </c>
      <c r="C54" s="6">
        <v>12000</v>
      </c>
      <c r="D54" s="6">
        <v>8404.66</v>
      </c>
      <c r="E54" s="367">
        <f>D54/10*12</f>
        <v>10085.592000000001</v>
      </c>
      <c r="F54" s="367">
        <v>10500</v>
      </c>
      <c r="G54" s="399" t="s">
        <v>99</v>
      </c>
    </row>
    <row r="55" spans="1:7" x14ac:dyDescent="0.35">
      <c r="A55" s="392" t="s">
        <v>28</v>
      </c>
      <c r="B55" s="6" t="s">
        <v>70</v>
      </c>
      <c r="C55" s="6">
        <v>709.4</v>
      </c>
      <c r="D55" s="6">
        <v>830.72</v>
      </c>
      <c r="E55" s="367">
        <v>830.72</v>
      </c>
      <c r="F55" s="367">
        <v>840</v>
      </c>
      <c r="G55" s="399" t="s">
        <v>100</v>
      </c>
    </row>
    <row r="56" spans="1:7" x14ac:dyDescent="0.35">
      <c r="A56" s="392" t="s">
        <v>29</v>
      </c>
      <c r="B56" s="6" t="s">
        <v>71</v>
      </c>
      <c r="C56" s="6">
        <v>2000</v>
      </c>
      <c r="D56" s="6">
        <v>2330.2199999999998</v>
      </c>
      <c r="E56" s="367">
        <v>2780.22</v>
      </c>
      <c r="F56" s="367">
        <v>2500</v>
      </c>
      <c r="G56" s="399" t="s">
        <v>101</v>
      </c>
    </row>
    <row r="57" spans="1:7" x14ac:dyDescent="0.35">
      <c r="A57" s="390"/>
      <c r="B57" s="365" t="s">
        <v>278</v>
      </c>
      <c r="C57" s="5">
        <f>C56+C55+C54+C53</f>
        <v>15859.4</v>
      </c>
      <c r="D57" s="5">
        <f>D56+D55+D54+D53</f>
        <v>12220.319999999998</v>
      </c>
      <c r="E57" s="368">
        <f>SUM(E53:E56)</f>
        <v>14482.196</v>
      </c>
      <c r="F57" s="368">
        <f>SUM(F53:F56)</f>
        <v>14990</v>
      </c>
      <c r="G57" s="391"/>
    </row>
    <row r="58" spans="1:7" x14ac:dyDescent="0.35">
      <c r="A58" s="390"/>
      <c r="B58" s="5"/>
      <c r="C58" s="5"/>
      <c r="D58" s="5"/>
      <c r="E58" s="368"/>
      <c r="F58" s="368"/>
      <c r="G58" s="391"/>
    </row>
    <row r="59" spans="1:7" x14ac:dyDescent="0.35">
      <c r="A59" s="390"/>
      <c r="B59" s="5" t="s">
        <v>72</v>
      </c>
      <c r="C59" s="5"/>
      <c r="D59" s="5"/>
      <c r="E59" s="367"/>
      <c r="F59" s="367"/>
      <c r="G59" s="391"/>
    </row>
    <row r="60" spans="1:7" x14ac:dyDescent="0.35">
      <c r="A60" s="392" t="s">
        <v>30</v>
      </c>
      <c r="B60" s="376" t="s">
        <v>73</v>
      </c>
      <c r="C60" s="6">
        <v>23000</v>
      </c>
      <c r="D60" s="6">
        <v>17250</v>
      </c>
      <c r="E60" s="6">
        <v>23000</v>
      </c>
      <c r="F60" s="367">
        <v>35000</v>
      </c>
      <c r="G60" s="391"/>
    </row>
    <row r="61" spans="1:7" x14ac:dyDescent="0.35">
      <c r="A61" s="390"/>
      <c r="B61" s="365" t="s">
        <v>74</v>
      </c>
      <c r="C61" s="5">
        <v>23000</v>
      </c>
      <c r="D61" s="5">
        <v>17461.32</v>
      </c>
      <c r="E61" s="5">
        <f>E60</f>
        <v>23000</v>
      </c>
      <c r="F61" s="368">
        <f>F60</f>
        <v>35000</v>
      </c>
      <c r="G61" s="391"/>
    </row>
    <row r="62" spans="1:7" x14ac:dyDescent="0.35">
      <c r="A62" s="390"/>
      <c r="B62" s="365"/>
      <c r="C62" s="5"/>
      <c r="D62" s="5"/>
      <c r="E62" s="5"/>
      <c r="F62" s="367"/>
      <c r="G62" s="391"/>
    </row>
    <row r="63" spans="1:7" x14ac:dyDescent="0.35">
      <c r="A63" s="390"/>
      <c r="B63" s="365" t="s">
        <v>31</v>
      </c>
      <c r="C63" s="5">
        <f>C57+C50+C43+C39+C29+C24</f>
        <v>102340.4</v>
      </c>
      <c r="D63" s="5">
        <f t="shared" ref="D63:F63" si="0">D57+D50+D43+D39+D29+D24</f>
        <v>164517.10999999999</v>
      </c>
      <c r="E63" s="5">
        <f t="shared" si="0"/>
        <v>184832.76199999999</v>
      </c>
      <c r="F63" s="418">
        <f t="shared" si="0"/>
        <v>101599.81</v>
      </c>
      <c r="G63" s="391"/>
    </row>
    <row r="64" spans="1:7" x14ac:dyDescent="0.35">
      <c r="A64" s="392"/>
      <c r="B64" s="376"/>
      <c r="C64" s="6"/>
      <c r="D64" s="6"/>
      <c r="E64" s="367"/>
      <c r="F64" s="367"/>
      <c r="G64" s="391"/>
    </row>
    <row r="65" spans="1:7" s="371" customFormat="1" x14ac:dyDescent="0.35">
      <c r="A65" s="400"/>
      <c r="B65" s="377" t="s">
        <v>31</v>
      </c>
      <c r="C65" s="7">
        <v>125840.4</v>
      </c>
      <c r="D65" s="7">
        <v>182454.92</v>
      </c>
      <c r="E65" s="368">
        <f>E63</f>
        <v>184832.76199999999</v>
      </c>
      <c r="F65" s="368">
        <f>F63</f>
        <v>101599.81</v>
      </c>
      <c r="G65" s="401"/>
    </row>
    <row r="66" spans="1:7" x14ac:dyDescent="0.35">
      <c r="A66" s="390"/>
      <c r="B66" s="365" t="s">
        <v>74</v>
      </c>
      <c r="C66" s="5">
        <v>23000</v>
      </c>
      <c r="D66" s="5">
        <v>17461.32</v>
      </c>
      <c r="E66" s="5">
        <f>E60</f>
        <v>23000</v>
      </c>
      <c r="F66" s="368">
        <f>F61</f>
        <v>35000</v>
      </c>
      <c r="G66" s="391"/>
    </row>
    <row r="67" spans="1:7" ht="16" thickBot="1" x14ac:dyDescent="0.4">
      <c r="A67" s="402"/>
      <c r="B67" s="403"/>
      <c r="C67" s="403"/>
      <c r="D67" s="403"/>
      <c r="E67" s="404"/>
      <c r="F67" s="404"/>
      <c r="G67" s="405"/>
    </row>
    <row r="68" spans="1:7" x14ac:dyDescent="0.35">
      <c r="A68" s="2"/>
      <c r="B68" s="2"/>
      <c r="C68" s="2"/>
      <c r="D68" s="2"/>
    </row>
    <row r="69" spans="1:7" x14ac:dyDescent="0.35">
      <c r="A69" s="2"/>
      <c r="B69" s="2"/>
      <c r="C69" s="374"/>
      <c r="D69" s="374"/>
    </row>
    <row r="70" spans="1:7" x14ac:dyDescent="0.35">
      <c r="A70" s="1"/>
      <c r="B70" s="1"/>
      <c r="C70" s="375"/>
      <c r="D70" s="375"/>
    </row>
    <row r="71" spans="1:7" x14ac:dyDescent="0.35">
      <c r="A71" s="2"/>
      <c r="B71" s="2"/>
      <c r="C71" s="374"/>
      <c r="D71" s="374"/>
    </row>
  </sheetData>
  <mergeCells count="5">
    <mergeCell ref="A1:D1"/>
    <mergeCell ref="A2:D2"/>
    <mergeCell ref="A3:D3"/>
    <mergeCell ref="A4:D4"/>
    <mergeCell ref="G13:G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CE60-9A95-D94E-BFCF-38A9CC56A25E}">
  <dimension ref="A1"/>
  <sheetViews>
    <sheetView workbookViewId="0"/>
  </sheetViews>
  <sheetFormatPr defaultColWidth="10.6640625"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9EC9-A80E-4925-8BD9-8D5B5CF81BFB}">
  <dimension ref="A2:AV36"/>
  <sheetViews>
    <sheetView showGridLines="0" topLeftCell="A6" zoomScale="55" zoomScaleNormal="55" workbookViewId="0">
      <selection activeCell="A36" sqref="A36"/>
    </sheetView>
  </sheetViews>
  <sheetFormatPr defaultColWidth="9" defaultRowHeight="14.5" x14ac:dyDescent="0.35"/>
  <cols>
    <col min="1" max="1" width="9" style="8"/>
    <col min="2" max="2" width="8" style="8" customWidth="1"/>
    <col min="3" max="3" width="88" style="8" customWidth="1"/>
    <col min="4" max="4" width="16.33203125" style="8" customWidth="1"/>
    <col min="5" max="6" width="13.5" style="8" customWidth="1"/>
    <col min="7" max="7" width="14.83203125" style="8" bestFit="1" customWidth="1"/>
    <col min="8" max="8" width="15" style="8" customWidth="1"/>
    <col min="9" max="9" width="9.1640625" style="8" bestFit="1" customWidth="1"/>
    <col min="10" max="10" width="9.1640625" style="8" customWidth="1"/>
    <col min="11" max="11" width="13.1640625" style="8" bestFit="1" customWidth="1"/>
    <col min="12" max="12" width="15.1640625" style="8" bestFit="1" customWidth="1"/>
    <col min="13" max="14" width="16.83203125" style="8" customWidth="1"/>
    <col min="15" max="15" width="19" style="8" customWidth="1"/>
    <col min="16" max="25" width="11.1640625" style="8" customWidth="1"/>
    <col min="26" max="26" width="8.1640625" style="8" customWidth="1"/>
    <col min="27" max="27" width="138.1640625" style="8" customWidth="1"/>
    <col min="28" max="48" width="11.1640625" style="8" customWidth="1"/>
    <col min="49" max="16384" width="9" style="8"/>
  </cols>
  <sheetData>
    <row r="2" spans="1:48" ht="30.5" x14ac:dyDescent="0.4">
      <c r="B2" s="132"/>
      <c r="C2" s="10"/>
      <c r="D2" s="11"/>
      <c r="E2" s="138"/>
      <c r="F2" s="137"/>
      <c r="G2" s="136"/>
      <c r="H2" s="9"/>
      <c r="I2" s="9"/>
      <c r="J2" s="11"/>
      <c r="K2" s="132"/>
      <c r="L2" s="127"/>
      <c r="M2" s="127"/>
      <c r="N2" s="127"/>
      <c r="O2" s="9"/>
      <c r="P2" s="127"/>
      <c r="Q2" s="158"/>
      <c r="R2" s="127"/>
      <c r="S2" s="127"/>
      <c r="T2" s="127"/>
      <c r="U2" s="157"/>
      <c r="V2" s="157"/>
      <c r="W2" s="9"/>
      <c r="X2" s="162"/>
      <c r="Z2" s="10"/>
      <c r="AA2" s="10"/>
      <c r="AB2" s="127"/>
      <c r="AC2" s="127"/>
      <c r="AD2" s="127"/>
      <c r="AE2" s="9"/>
      <c r="AF2" s="127"/>
      <c r="AG2" s="127"/>
      <c r="AH2" s="127"/>
      <c r="AI2" s="127"/>
      <c r="AJ2" s="127"/>
      <c r="AK2" s="127"/>
      <c r="AL2" s="127"/>
      <c r="AM2" s="155"/>
      <c r="AN2" s="153"/>
      <c r="AO2" s="153"/>
      <c r="AP2" s="153"/>
      <c r="AQ2" s="153"/>
      <c r="AR2" s="153"/>
      <c r="AS2" s="153"/>
      <c r="AT2" s="9"/>
      <c r="AU2" s="161"/>
      <c r="AV2" s="160" t="s">
        <v>181</v>
      </c>
    </row>
    <row r="3" spans="1:48" ht="44.5" x14ac:dyDescent="0.4">
      <c r="B3" s="132"/>
      <c r="C3" s="10"/>
      <c r="D3" s="11"/>
      <c r="E3" s="138"/>
      <c r="F3" s="137"/>
      <c r="G3" s="136"/>
      <c r="H3" s="9"/>
      <c r="I3" s="9"/>
      <c r="J3" s="159" t="s">
        <v>180</v>
      </c>
      <c r="K3" s="132"/>
      <c r="L3" s="127"/>
      <c r="M3" s="127"/>
      <c r="N3" s="127"/>
      <c r="O3" s="9"/>
      <c r="P3" s="127"/>
      <c r="Q3" s="158"/>
      <c r="R3" s="127"/>
      <c r="S3" s="127"/>
      <c r="T3" s="127"/>
      <c r="U3" s="157"/>
      <c r="V3" s="157"/>
      <c r="W3" s="127"/>
      <c r="X3" s="154"/>
      <c r="Y3" s="127"/>
      <c r="Z3" s="10"/>
      <c r="AA3" s="10"/>
      <c r="AB3" s="127"/>
      <c r="AC3" s="127"/>
      <c r="AD3" s="127"/>
      <c r="AE3" s="9"/>
      <c r="AF3" s="156" t="s">
        <v>180</v>
      </c>
      <c r="AG3" s="127"/>
      <c r="AH3" s="127"/>
      <c r="AI3" s="127"/>
      <c r="AJ3" s="127"/>
      <c r="AK3" s="127"/>
      <c r="AL3" s="127"/>
      <c r="AM3" s="155"/>
      <c r="AN3" s="153"/>
      <c r="AO3" s="153"/>
      <c r="AP3" s="153"/>
      <c r="AQ3" s="153"/>
      <c r="AR3" s="153"/>
      <c r="AS3" s="153"/>
      <c r="AT3" s="153"/>
      <c r="AU3" s="154"/>
      <c r="AV3" s="153"/>
    </row>
    <row r="4" spans="1:48" ht="20" x14ac:dyDescent="0.4">
      <c r="B4" s="132"/>
      <c r="C4" s="146"/>
      <c r="D4" s="11"/>
      <c r="E4" s="9"/>
      <c r="F4" s="10"/>
      <c r="G4" s="132"/>
      <c r="H4" s="149"/>
      <c r="I4" s="9"/>
      <c r="J4" s="11"/>
      <c r="K4" s="132"/>
      <c r="L4" s="127"/>
      <c r="M4" s="127"/>
      <c r="N4" s="127"/>
      <c r="O4" s="9"/>
      <c r="P4" s="152"/>
      <c r="Q4" s="9"/>
      <c r="R4" s="151"/>
      <c r="S4" s="127"/>
      <c r="T4" s="127"/>
      <c r="U4" s="127"/>
      <c r="V4" s="127"/>
      <c r="W4" s="9"/>
      <c r="X4" s="150"/>
      <c r="Y4" s="9"/>
      <c r="Z4" s="10"/>
      <c r="AA4" s="10"/>
      <c r="AB4" s="127"/>
      <c r="AC4" s="127"/>
      <c r="AD4" s="9"/>
      <c r="AE4" s="9"/>
      <c r="AF4" s="149"/>
      <c r="AG4" s="127"/>
      <c r="AH4" s="127"/>
      <c r="AI4" s="127"/>
      <c r="AJ4" s="127"/>
      <c r="AK4" s="127"/>
      <c r="AL4" s="127"/>
      <c r="AM4" s="126"/>
      <c r="AN4" s="126"/>
      <c r="AO4" s="126"/>
      <c r="AP4" s="126"/>
      <c r="AQ4" s="126"/>
      <c r="AR4" s="126"/>
      <c r="AS4" s="126"/>
      <c r="AT4" s="9"/>
      <c r="AU4" s="10"/>
      <c r="AV4" s="126"/>
    </row>
    <row r="5" spans="1:48" ht="30.5" x14ac:dyDescent="0.45">
      <c r="B5" s="132"/>
      <c r="C5" s="146"/>
      <c r="D5" s="145"/>
      <c r="E5" s="9"/>
      <c r="F5" s="10"/>
      <c r="G5" s="136"/>
      <c r="H5" s="9"/>
      <c r="I5" s="9"/>
      <c r="J5" s="141" t="s">
        <v>75</v>
      </c>
      <c r="K5" s="132"/>
      <c r="L5" s="127"/>
      <c r="M5" s="127"/>
      <c r="N5" s="127"/>
      <c r="O5" s="9"/>
      <c r="P5" s="148" t="s">
        <v>179</v>
      </c>
      <c r="Q5" s="147">
        <v>0.02</v>
      </c>
      <c r="R5" s="127"/>
      <c r="S5" s="127"/>
      <c r="T5" s="127"/>
      <c r="U5" s="127"/>
      <c r="V5" s="127"/>
      <c r="W5" s="127"/>
      <c r="X5" s="127"/>
      <c r="Y5" s="127"/>
      <c r="Z5" s="10"/>
      <c r="AA5" s="142"/>
      <c r="AB5" s="127"/>
      <c r="AC5" s="127"/>
      <c r="AD5" s="9"/>
      <c r="AE5" s="9"/>
      <c r="AF5" s="141" t="s">
        <v>75</v>
      </c>
      <c r="AG5" s="127"/>
      <c r="AH5" s="127"/>
      <c r="AI5" s="127"/>
      <c r="AJ5" s="127"/>
      <c r="AK5" s="127"/>
      <c r="AL5" s="9"/>
      <c r="AM5" s="140"/>
      <c r="AN5" s="126"/>
      <c r="AO5" s="126"/>
      <c r="AP5" s="126"/>
      <c r="AQ5" s="126"/>
      <c r="AR5" s="126"/>
      <c r="AS5" s="126"/>
      <c r="AT5" s="126"/>
      <c r="AU5" s="126"/>
      <c r="AV5" s="126"/>
    </row>
    <row r="6" spans="1:48" ht="30.5" x14ac:dyDescent="0.4">
      <c r="B6" s="132"/>
      <c r="C6" s="146"/>
      <c r="D6" s="145"/>
      <c r="E6" s="9"/>
      <c r="F6" s="10"/>
      <c r="G6" s="136"/>
      <c r="H6" s="9"/>
      <c r="I6" s="9"/>
      <c r="J6" s="141" t="s">
        <v>178</v>
      </c>
      <c r="K6" s="132"/>
      <c r="L6" s="127"/>
      <c r="M6" s="127"/>
      <c r="N6" s="127"/>
      <c r="O6" s="9"/>
      <c r="P6" s="144"/>
      <c r="Q6" s="143"/>
      <c r="R6" s="127"/>
      <c r="S6" s="127"/>
      <c r="T6" s="127"/>
      <c r="U6" s="127"/>
      <c r="V6" s="127"/>
      <c r="W6" s="127"/>
      <c r="X6" s="127"/>
      <c r="Y6" s="127"/>
      <c r="Z6" s="10"/>
      <c r="AA6" s="142"/>
      <c r="AB6" s="127"/>
      <c r="AC6" s="127"/>
      <c r="AD6" s="9"/>
      <c r="AE6" s="9"/>
      <c r="AF6" s="141" t="s">
        <v>178</v>
      </c>
      <c r="AG6" s="127"/>
      <c r="AH6" s="127"/>
      <c r="AI6" s="127"/>
      <c r="AJ6" s="127"/>
      <c r="AK6" s="127"/>
      <c r="AL6" s="9"/>
      <c r="AM6" s="140"/>
      <c r="AN6" s="126"/>
      <c r="AO6" s="126"/>
      <c r="AP6" s="126"/>
      <c r="AQ6" s="126"/>
      <c r="AR6" s="126"/>
      <c r="AS6" s="126"/>
      <c r="AT6" s="126"/>
      <c r="AU6" s="126"/>
      <c r="AV6" s="126"/>
    </row>
    <row r="7" spans="1:48" ht="20.5" thickBot="1" x14ac:dyDescent="0.45">
      <c r="B7" s="132"/>
      <c r="C7" s="139"/>
      <c r="D7" s="133"/>
      <c r="E7" s="138"/>
      <c r="F7" s="137"/>
      <c r="G7" s="136"/>
      <c r="H7" s="135"/>
      <c r="I7" s="134"/>
      <c r="J7" s="133"/>
      <c r="K7" s="132"/>
      <c r="L7" s="132"/>
      <c r="M7" s="131"/>
      <c r="N7" s="131"/>
      <c r="O7" s="130"/>
      <c r="P7" s="129"/>
      <c r="Q7" s="127"/>
      <c r="R7" s="127"/>
      <c r="S7" s="128"/>
      <c r="T7" s="127"/>
      <c r="U7" s="127"/>
      <c r="V7" s="127"/>
      <c r="W7" s="127"/>
      <c r="X7" s="127"/>
      <c r="Y7" s="127"/>
      <c r="Z7" s="10"/>
      <c r="AA7" s="10"/>
      <c r="AB7" s="127"/>
      <c r="AC7" s="127"/>
      <c r="AD7" s="127"/>
      <c r="AE7" s="9"/>
      <c r="AF7" s="127"/>
      <c r="AG7" s="127"/>
      <c r="AH7" s="127"/>
      <c r="AI7" s="127"/>
      <c r="AJ7" s="127"/>
      <c r="AK7" s="127"/>
      <c r="AL7" s="9"/>
      <c r="AM7" s="126"/>
      <c r="AN7" s="126"/>
      <c r="AO7" s="126"/>
      <c r="AP7" s="126"/>
      <c r="AQ7" s="126"/>
      <c r="AR7" s="126"/>
      <c r="AS7" s="126"/>
      <c r="AT7" s="126"/>
      <c r="AU7" s="126"/>
      <c r="AV7" s="126"/>
    </row>
    <row r="8" spans="1:48" ht="25" x14ac:dyDescent="0.35">
      <c r="B8" s="125" t="s">
        <v>171</v>
      </c>
      <c r="C8" s="124"/>
      <c r="D8" s="123"/>
      <c r="E8" s="121"/>
      <c r="F8" s="122" t="s">
        <v>177</v>
      </c>
      <c r="G8" s="118" t="s">
        <v>163</v>
      </c>
      <c r="H8" s="121"/>
      <c r="I8" s="118" t="s">
        <v>176</v>
      </c>
      <c r="J8" s="118"/>
      <c r="K8" s="118" t="s">
        <v>175</v>
      </c>
      <c r="L8" s="120">
        <v>2024</v>
      </c>
      <c r="M8" s="119" t="s">
        <v>174</v>
      </c>
      <c r="N8" s="119" t="s">
        <v>174</v>
      </c>
      <c r="O8" s="118" t="s">
        <v>173</v>
      </c>
      <c r="P8" s="117" t="s">
        <v>172</v>
      </c>
      <c r="Q8" s="116" t="s">
        <v>161</v>
      </c>
      <c r="R8" s="114" t="s">
        <v>161</v>
      </c>
      <c r="S8" s="114" t="s">
        <v>161</v>
      </c>
      <c r="T8" s="114" t="s">
        <v>161</v>
      </c>
      <c r="U8" s="114" t="s">
        <v>161</v>
      </c>
      <c r="V8" s="114" t="s">
        <v>161</v>
      </c>
      <c r="W8" s="114" t="s">
        <v>161</v>
      </c>
      <c r="X8" s="114" t="s">
        <v>161</v>
      </c>
      <c r="Y8" s="114" t="s">
        <v>161</v>
      </c>
      <c r="Z8" s="114" t="s">
        <v>171</v>
      </c>
      <c r="AA8" s="115"/>
      <c r="AB8" s="114" t="s">
        <v>161</v>
      </c>
      <c r="AC8" s="114" t="s">
        <v>161</v>
      </c>
      <c r="AD8" s="114" t="s">
        <v>161</v>
      </c>
      <c r="AE8" s="114" t="s">
        <v>161</v>
      </c>
      <c r="AF8" s="114" t="s">
        <v>161</v>
      </c>
      <c r="AG8" s="114" t="s">
        <v>161</v>
      </c>
      <c r="AH8" s="114" t="s">
        <v>161</v>
      </c>
      <c r="AI8" s="114" t="s">
        <v>161</v>
      </c>
      <c r="AJ8" s="114" t="s">
        <v>161</v>
      </c>
      <c r="AK8" s="114" t="s">
        <v>161</v>
      </c>
      <c r="AL8" s="114" t="s">
        <v>161</v>
      </c>
      <c r="AM8" s="114" t="s">
        <v>161</v>
      </c>
      <c r="AN8" s="114" t="s">
        <v>161</v>
      </c>
      <c r="AO8" s="114" t="s">
        <v>161</v>
      </c>
      <c r="AP8" s="114" t="s">
        <v>161</v>
      </c>
      <c r="AQ8" s="114" t="s">
        <v>161</v>
      </c>
      <c r="AR8" s="114" t="s">
        <v>161</v>
      </c>
      <c r="AS8" s="114" t="s">
        <v>161</v>
      </c>
      <c r="AT8" s="114" t="s">
        <v>161</v>
      </c>
      <c r="AU8" s="114" t="s">
        <v>161</v>
      </c>
      <c r="AV8" s="113" t="s">
        <v>161</v>
      </c>
    </row>
    <row r="9" spans="1:48" ht="25.5" thickBot="1" x14ac:dyDescent="0.4">
      <c r="B9" s="112" t="s">
        <v>160</v>
      </c>
      <c r="C9" s="111" t="s">
        <v>159</v>
      </c>
      <c r="D9" s="110" t="s">
        <v>170</v>
      </c>
      <c r="E9" s="92" t="s">
        <v>169</v>
      </c>
      <c r="F9" s="93" t="s">
        <v>168</v>
      </c>
      <c r="G9" s="95" t="s">
        <v>167</v>
      </c>
      <c r="H9" s="95" t="s">
        <v>166</v>
      </c>
      <c r="I9" s="95" t="s">
        <v>164</v>
      </c>
      <c r="J9" s="109" t="s">
        <v>165</v>
      </c>
      <c r="K9" s="95" t="s">
        <v>164</v>
      </c>
      <c r="L9" s="108" t="s">
        <v>163</v>
      </c>
      <c r="M9" s="107" t="s">
        <v>155</v>
      </c>
      <c r="N9" s="107" t="s">
        <v>155</v>
      </c>
      <c r="O9" s="95" t="s">
        <v>162</v>
      </c>
      <c r="P9" s="106" t="s">
        <v>161</v>
      </c>
      <c r="Q9" s="105">
        <v>1</v>
      </c>
      <c r="R9" s="101">
        <v>2</v>
      </c>
      <c r="S9" s="101">
        <v>3</v>
      </c>
      <c r="T9" s="101">
        <v>4</v>
      </c>
      <c r="U9" s="101">
        <v>5</v>
      </c>
      <c r="V9" s="101">
        <v>6</v>
      </c>
      <c r="W9" s="101">
        <v>7</v>
      </c>
      <c r="X9" s="101">
        <v>8</v>
      </c>
      <c r="Y9" s="104">
        <v>9</v>
      </c>
      <c r="Z9" s="103" t="s">
        <v>160</v>
      </c>
      <c r="AA9" s="102" t="s">
        <v>159</v>
      </c>
      <c r="AB9" s="101">
        <v>10</v>
      </c>
      <c r="AC9" s="101">
        <v>11</v>
      </c>
      <c r="AD9" s="101">
        <v>12</v>
      </c>
      <c r="AE9" s="101">
        <v>13</v>
      </c>
      <c r="AF9" s="101">
        <v>14</v>
      </c>
      <c r="AG9" s="101">
        <v>15</v>
      </c>
      <c r="AH9" s="101">
        <v>16</v>
      </c>
      <c r="AI9" s="101">
        <v>17</v>
      </c>
      <c r="AJ9" s="101">
        <v>18</v>
      </c>
      <c r="AK9" s="101">
        <v>19</v>
      </c>
      <c r="AL9" s="101">
        <v>20</v>
      </c>
      <c r="AM9" s="101">
        <v>21</v>
      </c>
      <c r="AN9" s="101">
        <v>22</v>
      </c>
      <c r="AO9" s="101">
        <v>23</v>
      </c>
      <c r="AP9" s="101">
        <v>24</v>
      </c>
      <c r="AQ9" s="101">
        <v>25</v>
      </c>
      <c r="AR9" s="101">
        <v>26</v>
      </c>
      <c r="AS9" s="101">
        <v>27</v>
      </c>
      <c r="AT9" s="101">
        <v>28</v>
      </c>
      <c r="AU9" s="101">
        <v>29</v>
      </c>
      <c r="AV9" s="100">
        <v>30</v>
      </c>
    </row>
    <row r="10" spans="1:48" ht="25" x14ac:dyDescent="0.35">
      <c r="B10" s="99"/>
      <c r="C10" s="98"/>
      <c r="D10" s="97" t="s">
        <v>158</v>
      </c>
      <c r="E10" s="96" t="s">
        <v>157</v>
      </c>
      <c r="F10" s="91" t="s">
        <v>157</v>
      </c>
      <c r="G10" s="91" t="s">
        <v>156</v>
      </c>
      <c r="H10" s="95" t="s">
        <v>155</v>
      </c>
      <c r="I10" s="91" t="s">
        <v>153</v>
      </c>
      <c r="J10" s="91" t="s">
        <v>154</v>
      </c>
      <c r="K10" s="91" t="s">
        <v>153</v>
      </c>
      <c r="L10" s="94" t="s">
        <v>152</v>
      </c>
      <c r="M10" s="93" t="s">
        <v>151</v>
      </c>
      <c r="N10" s="92" t="s">
        <v>150</v>
      </c>
      <c r="O10" s="91" t="s">
        <v>149</v>
      </c>
      <c r="P10" s="90">
        <v>2024</v>
      </c>
      <c r="Q10" s="86">
        <v>2025</v>
      </c>
      <c r="R10" s="86">
        <v>2026</v>
      </c>
      <c r="S10" s="86">
        <v>2027</v>
      </c>
      <c r="T10" s="86">
        <v>2028</v>
      </c>
      <c r="U10" s="86">
        <v>2029</v>
      </c>
      <c r="V10" s="86">
        <v>2030</v>
      </c>
      <c r="W10" s="86">
        <v>2031</v>
      </c>
      <c r="X10" s="89">
        <v>2032</v>
      </c>
      <c r="Y10" s="86">
        <v>2033</v>
      </c>
      <c r="Z10" s="88"/>
      <c r="AA10" s="87"/>
      <c r="AB10" s="86">
        <v>2034</v>
      </c>
      <c r="AC10" s="86">
        <v>2035</v>
      </c>
      <c r="AD10" s="86">
        <v>2036</v>
      </c>
      <c r="AE10" s="86">
        <v>2037</v>
      </c>
      <c r="AF10" s="86">
        <v>2038</v>
      </c>
      <c r="AG10" s="86">
        <v>2039</v>
      </c>
      <c r="AH10" s="86">
        <v>2040</v>
      </c>
      <c r="AI10" s="86">
        <v>2041</v>
      </c>
      <c r="AJ10" s="86">
        <v>2042</v>
      </c>
      <c r="AK10" s="86">
        <v>2043</v>
      </c>
      <c r="AL10" s="86">
        <v>2044</v>
      </c>
      <c r="AM10" s="86">
        <v>2045</v>
      </c>
      <c r="AN10" s="86">
        <v>2046</v>
      </c>
      <c r="AO10" s="86">
        <v>2047</v>
      </c>
      <c r="AP10" s="86">
        <v>2048</v>
      </c>
      <c r="AQ10" s="86">
        <v>2049</v>
      </c>
      <c r="AR10" s="86">
        <v>2050</v>
      </c>
      <c r="AS10" s="86">
        <v>2051</v>
      </c>
      <c r="AT10" s="86">
        <v>2052</v>
      </c>
      <c r="AU10" s="86">
        <v>2053</v>
      </c>
      <c r="AV10" s="85">
        <v>2054</v>
      </c>
    </row>
    <row r="11" spans="1:48" ht="20" x14ac:dyDescent="0.4">
      <c r="B11" s="84"/>
      <c r="C11" s="66" t="s">
        <v>148</v>
      </c>
      <c r="D11" s="54"/>
      <c r="E11" s="65"/>
      <c r="F11" s="64"/>
      <c r="G11" s="79"/>
      <c r="H11" s="62"/>
      <c r="I11" s="83"/>
      <c r="J11" s="49"/>
      <c r="K11" s="60"/>
      <c r="L11" s="82"/>
      <c r="M11" s="81">
        <v>364520</v>
      </c>
      <c r="N11" s="81">
        <v>380520</v>
      </c>
      <c r="O11" s="81">
        <v>813146.64470199554</v>
      </c>
      <c r="P11" s="42"/>
      <c r="Q11" s="42"/>
      <c r="R11" s="42"/>
      <c r="S11" s="42"/>
      <c r="T11" s="42"/>
      <c r="U11" s="42"/>
      <c r="V11" s="42"/>
      <c r="W11" s="42"/>
      <c r="X11" s="80"/>
      <c r="Y11" s="42"/>
      <c r="Z11" s="58"/>
      <c r="AA11" s="57" t="s">
        <v>148</v>
      </c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39"/>
    </row>
    <row r="12" spans="1:48" ht="20" x14ac:dyDescent="0.4">
      <c r="A12" s="8" t="s">
        <v>104</v>
      </c>
      <c r="B12" s="56">
        <v>1.03</v>
      </c>
      <c r="C12" s="55" t="s">
        <v>146</v>
      </c>
      <c r="D12" s="54" t="s">
        <v>122</v>
      </c>
      <c r="E12" s="53">
        <v>6420</v>
      </c>
      <c r="F12" s="52">
        <v>6420</v>
      </c>
      <c r="G12" s="51" t="s">
        <v>107</v>
      </c>
      <c r="H12" s="50">
        <v>2038</v>
      </c>
      <c r="I12" s="49" t="s">
        <v>147</v>
      </c>
      <c r="J12" s="49">
        <v>1998</v>
      </c>
      <c r="K12" s="48">
        <v>14</v>
      </c>
      <c r="L12" s="47">
        <v>10</v>
      </c>
      <c r="M12" s="41">
        <v>64200</v>
      </c>
      <c r="N12" s="41">
        <v>64200</v>
      </c>
      <c r="O12" s="46">
        <v>196484.2906250025</v>
      </c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5">
        <v>1.03</v>
      </c>
      <c r="AA12" s="44" t="s">
        <v>146</v>
      </c>
      <c r="AB12" s="41"/>
      <c r="AC12" s="41"/>
      <c r="AD12" s="41"/>
      <c r="AE12" s="41"/>
      <c r="AF12" s="41">
        <v>84710.536588636387</v>
      </c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>
        <v>111773.75403636611</v>
      </c>
      <c r="AU12" s="41"/>
      <c r="AV12" s="75"/>
    </row>
    <row r="13" spans="1:48" ht="20" x14ac:dyDescent="0.4">
      <c r="B13" s="56">
        <v>1.05</v>
      </c>
      <c r="C13" s="55" t="s">
        <v>143</v>
      </c>
      <c r="D13" s="54" t="s">
        <v>122</v>
      </c>
      <c r="E13" s="53">
        <v>480</v>
      </c>
      <c r="F13" s="52">
        <v>480</v>
      </c>
      <c r="G13" s="51" t="s">
        <v>145</v>
      </c>
      <c r="H13" s="50">
        <v>2048</v>
      </c>
      <c r="I13" s="49" t="s">
        <v>144</v>
      </c>
      <c r="J13" s="49">
        <v>1998</v>
      </c>
      <c r="K13" s="48">
        <v>24</v>
      </c>
      <c r="L13" s="47">
        <v>150</v>
      </c>
      <c r="M13" s="41">
        <v>72000</v>
      </c>
      <c r="N13" s="41">
        <v>72000</v>
      </c>
      <c r="O13" s="46">
        <v>115807.4819622162</v>
      </c>
      <c r="P13" s="41"/>
      <c r="Q13" s="41"/>
      <c r="R13" s="41"/>
      <c r="S13" s="42"/>
      <c r="T13" s="41"/>
      <c r="U13" s="41"/>
      <c r="V13" s="41"/>
      <c r="W13" s="41"/>
      <c r="X13" s="41"/>
      <c r="Y13" s="41"/>
      <c r="Z13" s="45">
        <v>1.05</v>
      </c>
      <c r="AA13" s="44" t="s">
        <v>143</v>
      </c>
      <c r="AB13" s="43"/>
      <c r="AC13" s="40"/>
      <c r="AD13" s="40"/>
      <c r="AE13" s="42"/>
      <c r="AF13" s="42"/>
      <c r="AG13" s="40"/>
      <c r="AH13" s="42"/>
      <c r="AI13" s="40"/>
      <c r="AJ13" s="42"/>
      <c r="AK13" s="40"/>
      <c r="AL13" s="40"/>
      <c r="AM13" s="42"/>
      <c r="AN13" s="40"/>
      <c r="AO13" s="42"/>
      <c r="AP13" s="41">
        <v>115807.4819622162</v>
      </c>
      <c r="AQ13" s="40"/>
      <c r="AR13" s="40"/>
      <c r="AS13" s="40"/>
      <c r="AT13" s="42"/>
      <c r="AU13" s="40"/>
      <c r="AV13" s="75"/>
    </row>
    <row r="14" spans="1:48" ht="20" x14ac:dyDescent="0.4">
      <c r="A14" s="8" t="s">
        <v>104</v>
      </c>
      <c r="B14" s="56">
        <v>1.1399999999999999</v>
      </c>
      <c r="C14" s="55" t="s">
        <v>142</v>
      </c>
      <c r="D14" s="54" t="s">
        <v>122</v>
      </c>
      <c r="E14" s="53">
        <v>10</v>
      </c>
      <c r="F14" s="52">
        <v>2</v>
      </c>
      <c r="G14" s="51" t="s">
        <v>118</v>
      </c>
      <c r="H14" s="50">
        <v>2025</v>
      </c>
      <c r="I14" s="49" t="s">
        <v>110</v>
      </c>
      <c r="J14" s="49">
        <v>1998</v>
      </c>
      <c r="K14" s="48">
        <v>1</v>
      </c>
      <c r="L14" s="47">
        <v>2000</v>
      </c>
      <c r="M14" s="41">
        <v>4000</v>
      </c>
      <c r="N14" s="41">
        <v>20000</v>
      </c>
      <c r="O14" s="46">
        <v>43019.48377641158</v>
      </c>
      <c r="P14" s="41"/>
      <c r="Q14" s="41">
        <v>4080</v>
      </c>
      <c r="R14" s="41"/>
      <c r="S14" s="41">
        <v>4244.8319999999994</v>
      </c>
      <c r="T14" s="41"/>
      <c r="U14" s="41">
        <v>4416.3232128</v>
      </c>
      <c r="V14" s="42"/>
      <c r="W14" s="41">
        <v>4594.7426705971193</v>
      </c>
      <c r="X14" s="42"/>
      <c r="Y14" s="41">
        <v>4780.3702744892435</v>
      </c>
      <c r="Z14" s="45">
        <v>1.1399999999999999</v>
      </c>
      <c r="AA14" s="44" t="s">
        <v>142</v>
      </c>
      <c r="AB14" s="43"/>
      <c r="AC14" s="41"/>
      <c r="AD14" s="40"/>
      <c r="AE14" s="42"/>
      <c r="AF14" s="42"/>
      <c r="AG14" s="40"/>
      <c r="AH14" s="42"/>
      <c r="AI14" s="40"/>
      <c r="AJ14" s="42"/>
      <c r="AK14" s="40"/>
      <c r="AL14" s="40"/>
      <c r="AM14" s="42"/>
      <c r="AN14" s="40"/>
      <c r="AO14" s="42"/>
      <c r="AP14" s="40"/>
      <c r="AQ14" s="40"/>
      <c r="AR14" s="41">
        <v>6693.6724574160971</v>
      </c>
      <c r="AS14" s="40"/>
      <c r="AT14" s="41">
        <v>6964.0968246957082</v>
      </c>
      <c r="AU14" s="41"/>
      <c r="AV14" s="75">
        <v>7245.4463364134135</v>
      </c>
    </row>
    <row r="15" spans="1:48" ht="20" x14ac:dyDescent="0.4">
      <c r="B15" s="56">
        <v>1.24</v>
      </c>
      <c r="C15" s="55" t="s">
        <v>140</v>
      </c>
      <c r="D15" s="54" t="s">
        <v>122</v>
      </c>
      <c r="E15" s="53">
        <v>145</v>
      </c>
      <c r="F15" s="52">
        <v>145</v>
      </c>
      <c r="G15" s="51" t="s">
        <v>141</v>
      </c>
      <c r="H15" s="50">
        <v>2046</v>
      </c>
      <c r="I15" s="49" t="s">
        <v>129</v>
      </c>
      <c r="J15" s="49">
        <v>2016</v>
      </c>
      <c r="K15" s="48">
        <v>22</v>
      </c>
      <c r="L15" s="47">
        <v>1200</v>
      </c>
      <c r="M15" s="41">
        <v>174000</v>
      </c>
      <c r="N15" s="41">
        <v>174000</v>
      </c>
      <c r="O15" s="46">
        <v>269000.46271500306</v>
      </c>
      <c r="P15" s="41"/>
      <c r="Q15" s="41"/>
      <c r="R15" s="41"/>
      <c r="S15" s="42"/>
      <c r="T15" s="41"/>
      <c r="U15" s="40"/>
      <c r="V15" s="42"/>
      <c r="W15" s="40"/>
      <c r="X15" s="42"/>
      <c r="Y15" s="42"/>
      <c r="Z15" s="45">
        <v>1.24</v>
      </c>
      <c r="AA15" s="44" t="s">
        <v>140</v>
      </c>
      <c r="AB15" s="43"/>
      <c r="AC15" s="40"/>
      <c r="AD15" s="40"/>
      <c r="AE15" s="42"/>
      <c r="AF15" s="42"/>
      <c r="AG15" s="40"/>
      <c r="AH15" s="42"/>
      <c r="AI15" s="40"/>
      <c r="AJ15" s="42"/>
      <c r="AK15" s="40"/>
      <c r="AL15" s="40"/>
      <c r="AM15" s="42"/>
      <c r="AN15" s="41">
        <v>269000.46271500306</v>
      </c>
      <c r="AO15" s="42"/>
      <c r="AP15" s="40"/>
      <c r="AQ15" s="41"/>
      <c r="AR15" s="40"/>
      <c r="AS15" s="40"/>
      <c r="AT15" s="42"/>
      <c r="AU15" s="40"/>
      <c r="AV15" s="75"/>
    </row>
    <row r="16" spans="1:48" ht="40" x14ac:dyDescent="0.4">
      <c r="A16" s="8" t="s">
        <v>104</v>
      </c>
      <c r="B16" s="56">
        <v>1.56</v>
      </c>
      <c r="C16" s="55" t="s">
        <v>138</v>
      </c>
      <c r="D16" s="54" t="s">
        <v>122</v>
      </c>
      <c r="E16" s="53">
        <v>34000</v>
      </c>
      <c r="F16" s="52">
        <v>34000</v>
      </c>
      <c r="G16" s="51" t="s">
        <v>107</v>
      </c>
      <c r="H16" s="50">
        <v>2025</v>
      </c>
      <c r="I16" s="49" t="s">
        <v>139</v>
      </c>
      <c r="J16" s="49" t="s">
        <v>113</v>
      </c>
      <c r="K16" s="48">
        <v>1</v>
      </c>
      <c r="L16" s="47">
        <v>1.48</v>
      </c>
      <c r="M16" s="41">
        <v>50320</v>
      </c>
      <c r="N16" s="41">
        <v>50320</v>
      </c>
      <c r="O16" s="46">
        <v>188834.9256233623</v>
      </c>
      <c r="P16" s="41"/>
      <c r="Q16" s="41">
        <v>50000</v>
      </c>
      <c r="R16" s="41"/>
      <c r="S16" s="42"/>
      <c r="T16" s="41"/>
      <c r="U16" s="40"/>
      <c r="V16" s="41"/>
      <c r="W16" s="40"/>
      <c r="X16" s="42"/>
      <c r="Y16" s="41"/>
      <c r="Z16" s="45">
        <v>1.56</v>
      </c>
      <c r="AA16" s="44" t="s">
        <v>138</v>
      </c>
      <c r="AB16" s="43"/>
      <c r="AC16" s="41">
        <v>62566.595198418887</v>
      </c>
      <c r="AD16" s="40"/>
      <c r="AE16" s="42"/>
      <c r="AF16" s="41"/>
      <c r="AG16" s="40"/>
      <c r="AH16" s="42"/>
      <c r="AI16" s="41"/>
      <c r="AJ16" s="42"/>
      <c r="AK16" s="40"/>
      <c r="AL16" s="40"/>
      <c r="AM16" s="41">
        <v>76268.3304249434</v>
      </c>
      <c r="AN16" s="41"/>
      <c r="AO16" s="42"/>
      <c r="AP16" s="40"/>
      <c r="AQ16" s="41"/>
      <c r="AR16" s="40"/>
      <c r="AS16" s="40"/>
      <c r="AT16" s="42"/>
      <c r="AU16" s="40"/>
      <c r="AV16" s="75"/>
    </row>
    <row r="17" spans="1:48" ht="20" x14ac:dyDescent="0.4">
      <c r="B17" s="56"/>
      <c r="C17" s="74"/>
      <c r="D17" s="54"/>
      <c r="E17" s="73"/>
      <c r="F17" s="72"/>
      <c r="G17" s="51"/>
      <c r="H17" s="71"/>
      <c r="I17" s="70"/>
      <c r="J17" s="70"/>
      <c r="K17" s="61"/>
      <c r="L17" s="47"/>
      <c r="M17" s="69"/>
      <c r="N17" s="69"/>
      <c r="O17" s="68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58"/>
      <c r="AA17" s="67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75"/>
    </row>
    <row r="18" spans="1:48" ht="20" x14ac:dyDescent="0.4">
      <c r="A18" s="8" t="s">
        <v>104</v>
      </c>
      <c r="B18" s="56"/>
      <c r="C18" s="66" t="s">
        <v>137</v>
      </c>
      <c r="D18" s="54"/>
      <c r="E18" s="65"/>
      <c r="F18" s="64"/>
      <c r="G18" s="79"/>
      <c r="H18" s="62"/>
      <c r="I18" s="61"/>
      <c r="J18" s="49"/>
      <c r="K18" s="60"/>
      <c r="L18" s="47"/>
      <c r="M18" s="59">
        <v>307000</v>
      </c>
      <c r="N18" s="59">
        <v>370000</v>
      </c>
      <c r="O18" s="59">
        <v>623043.85881710821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58"/>
      <c r="AA18" s="57" t="s">
        <v>137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75"/>
    </row>
    <row r="19" spans="1:48" ht="20" x14ac:dyDescent="0.4">
      <c r="B19" s="56">
        <v>3.1</v>
      </c>
      <c r="C19" s="55" t="s">
        <v>136</v>
      </c>
      <c r="D19" s="54" t="s">
        <v>122</v>
      </c>
      <c r="E19" s="53">
        <v>1</v>
      </c>
      <c r="F19" s="52">
        <v>1</v>
      </c>
      <c r="G19" s="51" t="s">
        <v>118</v>
      </c>
      <c r="H19" s="50">
        <v>2039</v>
      </c>
      <c r="I19" s="49" t="s">
        <v>127</v>
      </c>
      <c r="J19" s="49">
        <v>2024</v>
      </c>
      <c r="K19" s="48">
        <v>15</v>
      </c>
      <c r="L19" s="47">
        <v>9000</v>
      </c>
      <c r="M19" s="41">
        <v>9000</v>
      </c>
      <c r="N19" s="41">
        <v>9000</v>
      </c>
      <c r="O19" s="77">
        <v>28415.069301847347</v>
      </c>
      <c r="P19" s="41"/>
      <c r="Q19" s="42"/>
      <c r="R19" s="42"/>
      <c r="S19" s="42"/>
      <c r="T19" s="76"/>
      <c r="U19" s="76"/>
      <c r="V19" s="41"/>
      <c r="W19" s="41"/>
      <c r="X19" s="42"/>
      <c r="Y19" s="42"/>
      <c r="Z19" s="45">
        <v>3.1</v>
      </c>
      <c r="AA19" s="44" t="s">
        <v>136</v>
      </c>
      <c r="AB19" s="42"/>
      <c r="AC19" s="41"/>
      <c r="AD19" s="76"/>
      <c r="AE19" s="76"/>
      <c r="AF19" s="76"/>
      <c r="AG19" s="41">
        <v>12112.815044917163</v>
      </c>
      <c r="AH19" s="76"/>
      <c r="AI19" s="76"/>
      <c r="AJ19" s="76"/>
      <c r="AK19" s="76"/>
      <c r="AL19" s="76"/>
      <c r="AM19" s="76"/>
      <c r="AN19" s="76"/>
      <c r="AO19" s="76"/>
      <c r="AP19" s="76"/>
      <c r="AQ19" s="41"/>
      <c r="AR19" s="76"/>
      <c r="AS19" s="76"/>
      <c r="AT19" s="76"/>
      <c r="AU19" s="76"/>
      <c r="AV19" s="75">
        <v>16302.25425693018</v>
      </c>
    </row>
    <row r="20" spans="1:48" ht="20" x14ac:dyDescent="0.4">
      <c r="A20" s="8" t="s">
        <v>104</v>
      </c>
      <c r="B20" s="56">
        <v>3.105</v>
      </c>
      <c r="C20" s="55" t="s">
        <v>135</v>
      </c>
      <c r="D20" s="54" t="s">
        <v>122</v>
      </c>
      <c r="E20" s="53">
        <v>1</v>
      </c>
      <c r="F20" s="52">
        <v>1</v>
      </c>
      <c r="G20" s="51" t="s">
        <v>118</v>
      </c>
      <c r="H20" s="50">
        <v>2039</v>
      </c>
      <c r="I20" s="49" t="s">
        <v>127</v>
      </c>
      <c r="J20" s="49">
        <v>2024</v>
      </c>
      <c r="K20" s="48">
        <v>15</v>
      </c>
      <c r="L20" s="47">
        <v>9000</v>
      </c>
      <c r="M20" s="41">
        <v>9000</v>
      </c>
      <c r="N20" s="41">
        <v>9000</v>
      </c>
      <c r="O20" s="77">
        <v>28415.069301847343</v>
      </c>
      <c r="P20" s="41"/>
      <c r="Q20" s="42"/>
      <c r="R20" s="42"/>
      <c r="S20" s="42"/>
      <c r="T20" s="76"/>
      <c r="U20" s="76"/>
      <c r="V20" s="41"/>
      <c r="W20" s="41"/>
      <c r="X20" s="42"/>
      <c r="Y20" s="42"/>
      <c r="Z20" s="45">
        <v>3.105</v>
      </c>
      <c r="AA20" s="44" t="s">
        <v>135</v>
      </c>
      <c r="AB20" s="42"/>
      <c r="AC20" s="41"/>
      <c r="AD20" s="76"/>
      <c r="AE20" s="76"/>
      <c r="AF20" s="76"/>
      <c r="AG20" s="41">
        <v>12112.815044917163</v>
      </c>
      <c r="AH20" s="76"/>
      <c r="AI20" s="76"/>
      <c r="AJ20" s="76"/>
      <c r="AK20" s="76"/>
      <c r="AL20" s="76"/>
      <c r="AM20" s="76"/>
      <c r="AN20" s="76"/>
      <c r="AO20" s="76"/>
      <c r="AP20" s="76"/>
      <c r="AQ20" s="41"/>
      <c r="AR20" s="76"/>
      <c r="AS20" s="76"/>
      <c r="AT20" s="76"/>
      <c r="AU20" s="76"/>
      <c r="AV20" s="75">
        <v>16302.25425693018</v>
      </c>
    </row>
    <row r="21" spans="1:48" ht="20" x14ac:dyDescent="0.4">
      <c r="B21" s="56">
        <v>3.15</v>
      </c>
      <c r="C21" s="55" t="s">
        <v>133</v>
      </c>
      <c r="D21" s="54" t="s">
        <v>122</v>
      </c>
      <c r="E21" s="53">
        <v>1</v>
      </c>
      <c r="F21" s="78">
        <v>0.7</v>
      </c>
      <c r="G21" s="51" t="s">
        <v>125</v>
      </c>
      <c r="H21" s="50">
        <v>2054</v>
      </c>
      <c r="I21" s="49" t="s">
        <v>134</v>
      </c>
      <c r="J21" s="49">
        <v>1998</v>
      </c>
      <c r="K21" s="48">
        <v>30</v>
      </c>
      <c r="L21" s="47">
        <v>60000</v>
      </c>
      <c r="M21" s="41">
        <v>42000</v>
      </c>
      <c r="N21" s="41">
        <v>60000</v>
      </c>
      <c r="O21" s="77">
        <v>76077.186532340842</v>
      </c>
      <c r="P21" s="42"/>
      <c r="Q21" s="42"/>
      <c r="R21" s="41"/>
      <c r="S21" s="42"/>
      <c r="T21" s="41"/>
      <c r="U21" s="76"/>
      <c r="V21" s="76"/>
      <c r="W21" s="42"/>
      <c r="X21" s="41"/>
      <c r="Y21" s="42"/>
      <c r="Z21" s="45">
        <v>3.15</v>
      </c>
      <c r="AA21" s="44" t="s">
        <v>133</v>
      </c>
      <c r="AB21" s="42"/>
      <c r="AC21" s="76"/>
      <c r="AD21" s="76"/>
      <c r="AE21" s="76"/>
      <c r="AF21" s="76"/>
      <c r="AG21" s="76"/>
      <c r="AH21" s="76"/>
      <c r="AI21" s="76"/>
      <c r="AJ21" s="76"/>
      <c r="AK21" s="76"/>
      <c r="AL21" s="42"/>
      <c r="AM21" s="76"/>
      <c r="AN21" s="76"/>
      <c r="AO21" s="76"/>
      <c r="AP21" s="76"/>
      <c r="AQ21" s="76"/>
      <c r="AR21" s="76"/>
      <c r="AS21" s="76"/>
      <c r="AT21" s="76"/>
      <c r="AU21" s="76"/>
      <c r="AV21" s="75">
        <v>76077.186532340842</v>
      </c>
    </row>
    <row r="22" spans="1:48" ht="20" x14ac:dyDescent="0.4">
      <c r="A22" s="8" t="s">
        <v>104</v>
      </c>
      <c r="B22" s="56">
        <v>3.1549999999999998</v>
      </c>
      <c r="C22" s="55" t="s">
        <v>132</v>
      </c>
      <c r="D22" s="54" t="s">
        <v>108</v>
      </c>
      <c r="E22" s="53">
        <v>1</v>
      </c>
      <c r="F22" s="52">
        <v>1</v>
      </c>
      <c r="G22" s="51" t="s">
        <v>118</v>
      </c>
      <c r="H22" s="50">
        <v>2030</v>
      </c>
      <c r="I22" s="49" t="s">
        <v>110</v>
      </c>
      <c r="J22" s="49" t="s">
        <v>113</v>
      </c>
      <c r="K22" s="48">
        <v>6</v>
      </c>
      <c r="L22" s="47">
        <v>10000</v>
      </c>
      <c r="M22" s="41">
        <v>10000</v>
      </c>
      <c r="N22" s="41">
        <v>10000</v>
      </c>
      <c r="O22" s="77">
        <v>11261.62419264</v>
      </c>
      <c r="P22" s="41"/>
      <c r="Q22" s="42"/>
      <c r="R22" s="42"/>
      <c r="S22" s="42"/>
      <c r="T22" s="76"/>
      <c r="U22" s="76"/>
      <c r="V22" s="41">
        <v>11261.62419264</v>
      </c>
      <c r="W22" s="41"/>
      <c r="X22" s="42"/>
      <c r="Y22" s="42"/>
      <c r="Z22" s="45">
        <v>3.1549999999999998</v>
      </c>
      <c r="AA22" s="44" t="s">
        <v>132</v>
      </c>
      <c r="AB22" s="42"/>
      <c r="AC22" s="41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41"/>
      <c r="AR22" s="76"/>
      <c r="AS22" s="76"/>
      <c r="AT22" s="76"/>
      <c r="AU22" s="76"/>
      <c r="AV22" s="75"/>
    </row>
    <row r="23" spans="1:48" ht="20" x14ac:dyDescent="0.4">
      <c r="B23" s="56">
        <v>3.16</v>
      </c>
      <c r="C23" s="55" t="s">
        <v>130</v>
      </c>
      <c r="D23" s="54" t="s">
        <v>108</v>
      </c>
      <c r="E23" s="53">
        <v>1</v>
      </c>
      <c r="F23" s="52">
        <v>1</v>
      </c>
      <c r="G23" s="51" t="s">
        <v>118</v>
      </c>
      <c r="H23" s="50">
        <v>2051</v>
      </c>
      <c r="I23" s="49" t="s">
        <v>131</v>
      </c>
      <c r="J23" s="49">
        <v>1998</v>
      </c>
      <c r="K23" s="48">
        <v>27</v>
      </c>
      <c r="L23" s="47">
        <v>40000</v>
      </c>
      <c r="M23" s="41">
        <v>40000</v>
      </c>
      <c r="N23" s="41">
        <v>40000</v>
      </c>
      <c r="O23" s="77">
        <v>68275.459065644172</v>
      </c>
      <c r="P23" s="42"/>
      <c r="Q23" s="42"/>
      <c r="R23" s="42"/>
      <c r="S23" s="42"/>
      <c r="T23" s="76"/>
      <c r="U23" s="76"/>
      <c r="V23" s="76"/>
      <c r="W23" s="42"/>
      <c r="X23" s="42"/>
      <c r="Y23" s="42"/>
      <c r="Z23" s="45">
        <v>3.16</v>
      </c>
      <c r="AA23" s="44" t="s">
        <v>130</v>
      </c>
      <c r="AB23" s="42"/>
      <c r="AC23" s="42"/>
      <c r="AD23" s="76"/>
      <c r="AE23" s="76"/>
      <c r="AF23" s="76"/>
      <c r="AG23" s="76"/>
      <c r="AH23" s="76"/>
      <c r="AI23" s="76"/>
      <c r="AJ23" s="76"/>
      <c r="AK23" s="76"/>
      <c r="AL23" s="76"/>
      <c r="AM23" s="41"/>
      <c r="AN23" s="76"/>
      <c r="AO23" s="76"/>
      <c r="AP23" s="76"/>
      <c r="AQ23" s="76"/>
      <c r="AR23" s="76"/>
      <c r="AS23" s="41">
        <v>68275.459065644172</v>
      </c>
      <c r="AT23" s="76"/>
      <c r="AU23" s="41"/>
      <c r="AV23" s="75"/>
    </row>
    <row r="24" spans="1:48" ht="20" x14ac:dyDescent="0.4">
      <c r="A24" s="8" t="s">
        <v>104</v>
      </c>
      <c r="B24" s="56">
        <v>3.17</v>
      </c>
      <c r="C24" s="55" t="s">
        <v>128</v>
      </c>
      <c r="D24" s="54" t="s">
        <v>108</v>
      </c>
      <c r="E24" s="53">
        <v>1</v>
      </c>
      <c r="F24" s="52">
        <v>1</v>
      </c>
      <c r="G24" s="51" t="s">
        <v>118</v>
      </c>
      <c r="H24" s="50">
        <v>2025</v>
      </c>
      <c r="I24" s="49" t="s">
        <v>129</v>
      </c>
      <c r="J24" s="49">
        <v>1998</v>
      </c>
      <c r="K24" s="48">
        <v>1</v>
      </c>
      <c r="L24" s="47">
        <v>100000</v>
      </c>
      <c r="M24" s="41">
        <v>100000</v>
      </c>
      <c r="N24" s="41">
        <v>100000</v>
      </c>
      <c r="O24" s="77">
        <v>211188.64766411044</v>
      </c>
      <c r="P24" s="41"/>
      <c r="Q24" s="42">
        <v>40500</v>
      </c>
      <c r="R24" s="41"/>
      <c r="S24" s="42"/>
      <c r="T24" s="41"/>
      <c r="U24" s="76"/>
      <c r="V24" s="76"/>
      <c r="W24" s="42"/>
      <c r="X24" s="42"/>
      <c r="Y24" s="42"/>
      <c r="Z24" s="45">
        <v>3.17</v>
      </c>
      <c r="AA24" s="44" t="s">
        <v>128</v>
      </c>
      <c r="AB24" s="42"/>
      <c r="AC24" s="42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41">
        <v>170688.64766411044</v>
      </c>
      <c r="AT24" s="76"/>
      <c r="AU24" s="41"/>
      <c r="AV24" s="75"/>
    </row>
    <row r="25" spans="1:48" ht="20" x14ac:dyDescent="0.4">
      <c r="B25" s="56">
        <v>3.23</v>
      </c>
      <c r="C25" s="55" t="s">
        <v>126</v>
      </c>
      <c r="D25" s="54" t="s">
        <v>122</v>
      </c>
      <c r="E25" s="53">
        <v>1</v>
      </c>
      <c r="F25" s="52">
        <v>1</v>
      </c>
      <c r="G25" s="51" t="s">
        <v>118</v>
      </c>
      <c r="H25" s="50">
        <v>2027</v>
      </c>
      <c r="I25" s="49" t="s">
        <v>127</v>
      </c>
      <c r="J25" s="49" t="s">
        <v>113</v>
      </c>
      <c r="K25" s="48">
        <v>3</v>
      </c>
      <c r="L25" s="47">
        <v>5000</v>
      </c>
      <c r="M25" s="41">
        <v>5000</v>
      </c>
      <c r="N25" s="41">
        <v>5000</v>
      </c>
      <c r="O25" s="77">
        <v>20875.089556322695</v>
      </c>
      <c r="P25" s="42"/>
      <c r="Q25" s="42"/>
      <c r="R25" s="42"/>
      <c r="S25" s="41">
        <v>5306.04</v>
      </c>
      <c r="T25" s="76"/>
      <c r="U25" s="41"/>
      <c r="V25" s="76"/>
      <c r="W25" s="42"/>
      <c r="X25" s="42"/>
      <c r="Y25" s="42"/>
      <c r="Z25" s="45">
        <v>3.23</v>
      </c>
      <c r="AA25" s="44" t="s">
        <v>126</v>
      </c>
      <c r="AB25" s="42"/>
      <c r="AC25" s="42"/>
      <c r="AD25" s="76"/>
      <c r="AE25" s="76"/>
      <c r="AF25" s="76"/>
      <c r="AG25" s="76"/>
      <c r="AH25" s="41">
        <v>6863.9285254530605</v>
      </c>
      <c r="AI25" s="76"/>
      <c r="AJ25" s="41"/>
      <c r="AK25" s="76"/>
      <c r="AL25" s="76"/>
      <c r="AM25" s="76"/>
      <c r="AN25" s="76"/>
      <c r="AO25" s="76"/>
      <c r="AP25" s="76"/>
      <c r="AQ25" s="76"/>
      <c r="AR25" s="76"/>
      <c r="AS25" s="76"/>
      <c r="AT25" s="41">
        <v>8705.1210308696354</v>
      </c>
      <c r="AU25" s="76"/>
      <c r="AV25" s="75"/>
    </row>
    <row r="26" spans="1:48" ht="20" x14ac:dyDescent="0.4">
      <c r="A26" s="8" t="s">
        <v>104</v>
      </c>
      <c r="B26" s="56">
        <v>3.23999999999999</v>
      </c>
      <c r="C26" s="55" t="s">
        <v>123</v>
      </c>
      <c r="D26" s="54" t="s">
        <v>122</v>
      </c>
      <c r="E26" s="53">
        <v>1</v>
      </c>
      <c r="F26" s="52">
        <v>1</v>
      </c>
      <c r="G26" s="51" t="s">
        <v>125</v>
      </c>
      <c r="H26" s="50">
        <v>2027</v>
      </c>
      <c r="I26" s="49" t="s">
        <v>124</v>
      </c>
      <c r="J26" s="49">
        <v>1998</v>
      </c>
      <c r="K26" s="48">
        <v>3</v>
      </c>
      <c r="L26" s="47">
        <v>12000</v>
      </c>
      <c r="M26" s="41">
        <v>12000</v>
      </c>
      <c r="N26" s="41">
        <v>12000</v>
      </c>
      <c r="O26" s="77">
        <v>33626.786474087123</v>
      </c>
      <c r="P26" s="42"/>
      <c r="Q26" s="42"/>
      <c r="R26" s="42"/>
      <c r="S26" s="41">
        <v>12734.495999999999</v>
      </c>
      <c r="T26" s="76"/>
      <c r="U26" s="41"/>
      <c r="V26" s="76"/>
      <c r="W26" s="42"/>
      <c r="X26" s="42"/>
      <c r="Y26" s="42"/>
      <c r="Z26" s="45">
        <v>3.23999999999999</v>
      </c>
      <c r="AA26" s="44" t="s">
        <v>123</v>
      </c>
      <c r="AB26" s="42"/>
      <c r="AC26" s="42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41">
        <v>20892.290474087124</v>
      </c>
      <c r="AU26" s="76"/>
      <c r="AV26" s="75"/>
    </row>
    <row r="27" spans="1:48" ht="20" x14ac:dyDescent="0.4">
      <c r="B27" s="56">
        <v>3.25</v>
      </c>
      <c r="C27" s="55" t="s">
        <v>119</v>
      </c>
      <c r="D27" s="54" t="s">
        <v>122</v>
      </c>
      <c r="E27" s="53">
        <v>22</v>
      </c>
      <c r="F27" s="52">
        <v>13</v>
      </c>
      <c r="G27" s="51" t="s">
        <v>121</v>
      </c>
      <c r="H27" s="50">
        <v>2054</v>
      </c>
      <c r="I27" s="49" t="s">
        <v>120</v>
      </c>
      <c r="J27" s="49">
        <v>1998</v>
      </c>
      <c r="K27" s="48">
        <v>30</v>
      </c>
      <c r="L27" s="47">
        <v>5000</v>
      </c>
      <c r="M27" s="41">
        <v>65000</v>
      </c>
      <c r="N27" s="41">
        <v>110000</v>
      </c>
      <c r="O27" s="77">
        <v>117738.50296671798</v>
      </c>
      <c r="P27" s="42"/>
      <c r="Q27" s="42"/>
      <c r="R27" s="42"/>
      <c r="S27" s="42"/>
      <c r="T27" s="76"/>
      <c r="U27" s="76"/>
      <c r="V27" s="76"/>
      <c r="W27" s="42"/>
      <c r="X27" s="42"/>
      <c r="Y27" s="42"/>
      <c r="Z27" s="45">
        <v>3.25</v>
      </c>
      <c r="AA27" s="44" t="s">
        <v>119</v>
      </c>
      <c r="AB27" s="42"/>
      <c r="AC27" s="42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5">
        <v>117738.50296671798</v>
      </c>
    </row>
    <row r="28" spans="1:48" ht="20" x14ac:dyDescent="0.4">
      <c r="A28" s="8" t="s">
        <v>104</v>
      </c>
      <c r="B28" s="56">
        <v>3.34</v>
      </c>
      <c r="C28" s="55" t="s">
        <v>116</v>
      </c>
      <c r="D28" s="54" t="s">
        <v>108</v>
      </c>
      <c r="E28" s="53">
        <v>1</v>
      </c>
      <c r="F28" s="52">
        <v>1</v>
      </c>
      <c r="G28" s="51" t="s">
        <v>118</v>
      </c>
      <c r="H28" s="50">
        <v>2054</v>
      </c>
      <c r="I28" s="49" t="s">
        <v>117</v>
      </c>
      <c r="J28" s="49">
        <v>1998</v>
      </c>
      <c r="K28" s="48">
        <v>30</v>
      </c>
      <c r="L28" s="47">
        <v>15000</v>
      </c>
      <c r="M28" s="41">
        <v>15000</v>
      </c>
      <c r="N28" s="41">
        <v>15000</v>
      </c>
      <c r="O28" s="77">
        <v>27170.423761550301</v>
      </c>
      <c r="P28" s="42"/>
      <c r="Q28" s="42"/>
      <c r="R28" s="42"/>
      <c r="S28" s="42"/>
      <c r="T28" s="76"/>
      <c r="U28" s="76"/>
      <c r="V28" s="76"/>
      <c r="W28" s="42"/>
      <c r="X28" s="42"/>
      <c r="Y28" s="42"/>
      <c r="Z28" s="45">
        <v>3.34</v>
      </c>
      <c r="AA28" s="44" t="s">
        <v>116</v>
      </c>
      <c r="AB28" s="42"/>
      <c r="AC28" s="42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5">
        <v>27170.423761550301</v>
      </c>
    </row>
    <row r="29" spans="1:48" ht="20" x14ac:dyDescent="0.4">
      <c r="B29" s="56"/>
      <c r="C29" s="74"/>
      <c r="D29" s="54"/>
      <c r="E29" s="73"/>
      <c r="F29" s="72"/>
      <c r="G29" s="51"/>
      <c r="H29" s="71"/>
      <c r="I29" s="70"/>
      <c r="J29" s="70"/>
      <c r="K29" s="61"/>
      <c r="L29" s="47"/>
      <c r="M29" s="69"/>
      <c r="N29" s="69"/>
      <c r="O29" s="68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58"/>
      <c r="AA29" s="67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39"/>
    </row>
    <row r="30" spans="1:48" ht="20" x14ac:dyDescent="0.4">
      <c r="A30" s="8" t="s">
        <v>104</v>
      </c>
      <c r="B30" s="56"/>
      <c r="C30" s="66" t="s">
        <v>115</v>
      </c>
      <c r="D30" s="54"/>
      <c r="E30" s="65"/>
      <c r="F30" s="64"/>
      <c r="G30" s="63"/>
      <c r="H30" s="62"/>
      <c r="I30" s="61"/>
      <c r="J30" s="49"/>
      <c r="K30" s="60"/>
      <c r="L30" s="47"/>
      <c r="M30" s="59">
        <v>151530</v>
      </c>
      <c r="N30" s="59">
        <v>151530</v>
      </c>
      <c r="O30" s="59">
        <v>340851.94760408881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58"/>
      <c r="AA30" s="57" t="s">
        <v>115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39"/>
    </row>
    <row r="31" spans="1:48" ht="20" x14ac:dyDescent="0.4">
      <c r="B31" s="56">
        <v>4</v>
      </c>
      <c r="C31" s="55" t="s">
        <v>112</v>
      </c>
      <c r="D31" s="54" t="s">
        <v>108</v>
      </c>
      <c r="E31" s="53">
        <v>2620</v>
      </c>
      <c r="F31" s="52">
        <v>2620</v>
      </c>
      <c r="G31" s="51" t="s">
        <v>111</v>
      </c>
      <c r="H31" s="50">
        <v>2033</v>
      </c>
      <c r="I31" s="49" t="s">
        <v>114</v>
      </c>
      <c r="J31" s="49" t="s">
        <v>113</v>
      </c>
      <c r="K31" s="48">
        <v>9</v>
      </c>
      <c r="L31" s="47">
        <v>2</v>
      </c>
      <c r="M31" s="41">
        <v>5240</v>
      </c>
      <c r="N31" s="41">
        <v>5240</v>
      </c>
      <c r="O31" s="46">
        <v>29238.255509326198</v>
      </c>
      <c r="P31" s="40"/>
      <c r="Q31" s="40"/>
      <c r="R31" s="40"/>
      <c r="S31" s="41"/>
      <c r="T31" s="41"/>
      <c r="U31" s="41"/>
      <c r="V31" s="41"/>
      <c r="W31" s="42"/>
      <c r="X31" s="41"/>
      <c r="Y31" s="41">
        <v>6262.2850595809086</v>
      </c>
      <c r="Z31" s="45">
        <v>4</v>
      </c>
      <c r="AA31" s="44" t="s">
        <v>112</v>
      </c>
      <c r="AB31" s="43"/>
      <c r="AC31" s="40"/>
      <c r="AD31" s="40"/>
      <c r="AE31" s="41"/>
      <c r="AF31" s="41">
        <v>6914.06871844945</v>
      </c>
      <c r="AG31" s="40"/>
      <c r="AH31" s="40"/>
      <c r="AI31" s="40"/>
      <c r="AJ31" s="41"/>
      <c r="AK31" s="41">
        <v>7633.6905440456621</v>
      </c>
      <c r="AL31" s="40"/>
      <c r="AM31" s="40"/>
      <c r="AN31" s="40"/>
      <c r="AO31" s="41"/>
      <c r="AP31" s="41">
        <v>8428.2111872501791</v>
      </c>
      <c r="AQ31" s="40"/>
      <c r="AR31" s="40"/>
      <c r="AS31" s="42"/>
      <c r="AT31" s="41"/>
      <c r="AU31" s="42"/>
      <c r="AV31" s="39"/>
    </row>
    <row r="32" spans="1:48" ht="20" x14ac:dyDescent="0.4">
      <c r="A32" s="8" t="s">
        <v>104</v>
      </c>
      <c r="B32" s="56">
        <v>4.01</v>
      </c>
      <c r="C32" s="55" t="s">
        <v>109</v>
      </c>
      <c r="D32" s="54" t="s">
        <v>108</v>
      </c>
      <c r="E32" s="53">
        <v>2620</v>
      </c>
      <c r="F32" s="52">
        <v>2620</v>
      </c>
      <c r="G32" s="51" t="s">
        <v>111</v>
      </c>
      <c r="H32" s="50">
        <v>2028</v>
      </c>
      <c r="I32" s="49" t="s">
        <v>110</v>
      </c>
      <c r="J32" s="49">
        <v>1998</v>
      </c>
      <c r="K32" s="48">
        <v>4</v>
      </c>
      <c r="L32" s="47">
        <v>17</v>
      </c>
      <c r="M32" s="41">
        <v>44540</v>
      </c>
      <c r="N32" s="41">
        <v>44540</v>
      </c>
      <c r="O32" s="46">
        <v>127307.65091224645</v>
      </c>
      <c r="P32" s="40"/>
      <c r="Q32" s="40"/>
      <c r="R32" s="40"/>
      <c r="S32" s="41"/>
      <c r="T32" s="41">
        <v>48211.528406400001</v>
      </c>
      <c r="U32" s="41"/>
      <c r="V32" s="41"/>
      <c r="W32" s="42"/>
      <c r="X32" s="41"/>
      <c r="Y32" s="42"/>
      <c r="Z32" s="45">
        <v>4.01</v>
      </c>
      <c r="AA32" s="44" t="s">
        <v>109</v>
      </c>
      <c r="AB32" s="43"/>
      <c r="AC32" s="40"/>
      <c r="AD32" s="40"/>
      <c r="AE32" s="41"/>
      <c r="AF32" s="40"/>
      <c r="AG32" s="40"/>
      <c r="AH32" s="40"/>
      <c r="AI32" s="40"/>
      <c r="AJ32" s="41"/>
      <c r="AK32" s="40"/>
      <c r="AL32" s="40"/>
      <c r="AM32" s="40"/>
      <c r="AN32" s="40"/>
      <c r="AO32" s="41"/>
      <c r="AP32" s="40"/>
      <c r="AQ32" s="40"/>
      <c r="AR32" s="40"/>
      <c r="AS32" s="42"/>
      <c r="AT32" s="41"/>
      <c r="AU32" s="42">
        <v>79096.122505846433</v>
      </c>
      <c r="AV32" s="39"/>
    </row>
    <row r="33" spans="1:48" ht="20" x14ac:dyDescent="0.4">
      <c r="B33" s="56">
        <v>4.05</v>
      </c>
      <c r="C33" s="55" t="s">
        <v>105</v>
      </c>
      <c r="D33" s="54" t="s">
        <v>108</v>
      </c>
      <c r="E33" s="53">
        <v>4070</v>
      </c>
      <c r="F33" s="52">
        <v>4070</v>
      </c>
      <c r="G33" s="51" t="s">
        <v>107</v>
      </c>
      <c r="H33" s="50">
        <v>2054</v>
      </c>
      <c r="I33" s="49" t="s">
        <v>106</v>
      </c>
      <c r="J33" s="49">
        <v>2024</v>
      </c>
      <c r="K33" s="48">
        <v>30</v>
      </c>
      <c r="L33" s="47">
        <v>25</v>
      </c>
      <c r="M33" s="41">
        <v>101750</v>
      </c>
      <c r="N33" s="41">
        <v>101750</v>
      </c>
      <c r="O33" s="46">
        <v>184306.0411825162</v>
      </c>
      <c r="P33" s="40"/>
      <c r="Q33" s="40"/>
      <c r="R33" s="40"/>
      <c r="S33" s="41"/>
      <c r="T33" s="40"/>
      <c r="U33" s="40"/>
      <c r="V33" s="40"/>
      <c r="W33" s="42"/>
      <c r="X33" s="41"/>
      <c r="Y33" s="42"/>
      <c r="Z33" s="45">
        <v>4.05</v>
      </c>
      <c r="AA33" s="44" t="s">
        <v>105</v>
      </c>
      <c r="AB33" s="43"/>
      <c r="AC33" s="40"/>
      <c r="AD33" s="40"/>
      <c r="AE33" s="41"/>
      <c r="AF33" s="40"/>
      <c r="AG33" s="40"/>
      <c r="AH33" s="40"/>
      <c r="AI33" s="40"/>
      <c r="AJ33" s="41"/>
      <c r="AK33" s="40"/>
      <c r="AL33" s="40"/>
      <c r="AM33" s="40"/>
      <c r="AN33" s="40"/>
      <c r="AO33" s="41"/>
      <c r="AP33" s="40"/>
      <c r="AQ33" s="40"/>
      <c r="AR33" s="40"/>
      <c r="AS33" s="42"/>
      <c r="AT33" s="41"/>
      <c r="AU33" s="40"/>
      <c r="AV33" s="39">
        <v>184306.0411825162</v>
      </c>
    </row>
    <row r="34" spans="1:48" ht="20.5" thickBot="1" x14ac:dyDescent="0.45">
      <c r="A34" s="8" t="s">
        <v>104</v>
      </c>
      <c r="B34" s="38"/>
      <c r="C34" s="37"/>
      <c r="D34" s="36"/>
      <c r="E34" s="35"/>
      <c r="F34" s="34"/>
      <c r="G34" s="33"/>
      <c r="H34" s="32"/>
      <c r="I34" s="31"/>
      <c r="J34" s="30"/>
      <c r="K34" s="29"/>
      <c r="L34" s="28"/>
      <c r="M34" s="27"/>
      <c r="N34" s="27"/>
      <c r="O34" s="26"/>
      <c r="P34" s="25"/>
      <c r="Q34" s="22"/>
      <c r="R34" s="22"/>
      <c r="S34" s="22"/>
      <c r="T34" s="22"/>
      <c r="U34" s="22"/>
      <c r="V34" s="22"/>
      <c r="W34" s="22"/>
      <c r="X34" s="22"/>
      <c r="Y34" s="22"/>
      <c r="Z34" s="24"/>
      <c r="AA34" s="23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1"/>
    </row>
    <row r="35" spans="1:48" ht="20" x14ac:dyDescent="0.4">
      <c r="B35" s="14"/>
      <c r="C35" s="20" t="s">
        <v>102</v>
      </c>
      <c r="D35" s="18"/>
      <c r="E35" s="17"/>
      <c r="F35" s="17"/>
      <c r="G35" s="17"/>
      <c r="H35" s="19" t="s">
        <v>103</v>
      </c>
      <c r="I35" s="17"/>
      <c r="J35" s="18"/>
      <c r="K35" s="17"/>
      <c r="L35" s="16"/>
      <c r="M35" s="15">
        <v>823050</v>
      </c>
      <c r="N35" s="15">
        <v>902050</v>
      </c>
      <c r="O35" s="12">
        <v>1777042.4511231927</v>
      </c>
      <c r="P35" s="12">
        <v>0</v>
      </c>
      <c r="Q35" s="12">
        <v>94580</v>
      </c>
      <c r="R35" s="12">
        <v>0</v>
      </c>
      <c r="S35" s="12">
        <v>22285.367999999999</v>
      </c>
      <c r="T35" s="12">
        <v>48211.528406400001</v>
      </c>
      <c r="U35" s="12">
        <v>4416.3232128</v>
      </c>
      <c r="V35" s="12">
        <v>11261.62419264</v>
      </c>
      <c r="W35" s="12">
        <v>4594.7426705971193</v>
      </c>
      <c r="X35" s="12">
        <v>0</v>
      </c>
      <c r="Y35" s="12">
        <v>11042.655334070152</v>
      </c>
      <c r="Z35" s="14"/>
      <c r="AA35" s="13" t="s">
        <v>102</v>
      </c>
      <c r="AB35" s="12">
        <v>0</v>
      </c>
      <c r="AC35" s="12">
        <v>62566.595198418887</v>
      </c>
      <c r="AD35" s="12">
        <v>0</v>
      </c>
      <c r="AE35" s="12">
        <v>0</v>
      </c>
      <c r="AF35" s="12">
        <v>91624.605307085832</v>
      </c>
      <c r="AG35" s="12">
        <v>24225.630089834325</v>
      </c>
      <c r="AH35" s="12">
        <v>6863.9285254530605</v>
      </c>
      <c r="AI35" s="12">
        <v>0</v>
      </c>
      <c r="AJ35" s="12">
        <v>0</v>
      </c>
      <c r="AK35" s="12">
        <v>7633.6905440456621</v>
      </c>
      <c r="AL35" s="12">
        <v>0</v>
      </c>
      <c r="AM35" s="12">
        <v>76268.3304249434</v>
      </c>
      <c r="AN35" s="12">
        <v>269000.46271500306</v>
      </c>
      <c r="AO35" s="12">
        <v>0</v>
      </c>
      <c r="AP35" s="12">
        <v>124235.69314946639</v>
      </c>
      <c r="AQ35" s="12">
        <v>0</v>
      </c>
      <c r="AR35" s="12">
        <v>6693.6724574160971</v>
      </c>
      <c r="AS35" s="12">
        <v>238964.1067297546</v>
      </c>
      <c r="AT35" s="12">
        <v>148335.26236601858</v>
      </c>
      <c r="AU35" s="12">
        <v>79096.122505846433</v>
      </c>
      <c r="AV35" s="12">
        <v>445142.10929339915</v>
      </c>
    </row>
    <row r="36" spans="1:48" ht="20" x14ac:dyDescent="0.4">
      <c r="B36" s="9"/>
      <c r="C36" s="9"/>
      <c r="D36" s="11"/>
      <c r="E36" s="9"/>
      <c r="F36" s="10"/>
      <c r="G36" s="9"/>
      <c r="H36" s="9"/>
      <c r="I36" s="9"/>
      <c r="J36" s="11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  <c r="AA36" s="1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</sheetData>
  <conditionalFormatting sqref="E3:AV34 E2:X2 Z2:AV2 B2:C34">
    <cfRule type="expression" dxfId="28" priority="2">
      <formula>$A2="x"</formula>
    </cfRule>
  </conditionalFormatting>
  <conditionalFormatting sqref="J5:J6 AF5:AF6">
    <cfRule type="containsText" dxfId="27" priority="1" operator="containsText" text="Info Tab">
      <formula>NOT(ISERROR(SEARCH("Info Tab",J5)))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085B-5009-4531-9A3B-9F055D98C6BC}">
  <dimension ref="B2:U35"/>
  <sheetViews>
    <sheetView showGridLines="0" topLeftCell="E3" zoomScale="70" zoomScaleNormal="70" workbookViewId="0">
      <selection activeCell="D8" sqref="D8"/>
    </sheetView>
  </sheetViews>
  <sheetFormatPr defaultColWidth="9" defaultRowHeight="14.5" x14ac:dyDescent="0.35"/>
  <cols>
    <col min="1" max="1" width="9" style="8"/>
    <col min="2" max="2" width="5.1640625" style="8" customWidth="1"/>
    <col min="3" max="3" width="10.6640625" style="8" customWidth="1"/>
    <col min="4" max="4" width="64.1640625" style="8" customWidth="1"/>
    <col min="5" max="5" width="13.5" style="8" customWidth="1"/>
    <col min="6" max="6" width="15.6640625" style="8" customWidth="1"/>
    <col min="7" max="7" width="16.33203125" style="8" customWidth="1"/>
    <col min="8" max="21" width="15" style="8" customWidth="1"/>
    <col min="22" max="16384" width="9" style="8"/>
  </cols>
  <sheetData>
    <row r="2" spans="2:21" ht="30.5" x14ac:dyDescent="0.35">
      <c r="B2" s="413" t="s">
        <v>199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241" t="s">
        <v>198</v>
      </c>
    </row>
    <row r="3" spans="2:21" ht="44.5" x14ac:dyDescent="0.85">
      <c r="B3" s="414" t="s">
        <v>197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</row>
    <row r="4" spans="2:21" ht="44.5" x14ac:dyDescent="0.85">
      <c r="B4" s="414" t="s">
        <v>196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</row>
    <row r="6" spans="2:21" ht="35" x14ac:dyDescent="0.35">
      <c r="B6" s="415" t="s">
        <v>75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</row>
    <row r="7" spans="2:21" ht="35" x14ac:dyDescent="0.35">
      <c r="B7" s="415" t="s">
        <v>178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</row>
    <row r="8" spans="2:21" ht="18" x14ac:dyDescent="0.4">
      <c r="C8" s="240"/>
      <c r="D8" s="172"/>
      <c r="E8" s="239"/>
      <c r="F8" s="182"/>
      <c r="G8" s="172"/>
      <c r="H8" s="238"/>
      <c r="I8" s="238"/>
      <c r="J8" s="238"/>
      <c r="K8" s="238"/>
      <c r="L8" s="238"/>
      <c r="M8" s="172"/>
      <c r="N8" s="182"/>
      <c r="O8" s="182"/>
      <c r="P8" s="182"/>
      <c r="Q8" s="182"/>
      <c r="R8" s="182"/>
      <c r="S8" s="182"/>
      <c r="T8" s="182"/>
      <c r="U8" s="182"/>
    </row>
    <row r="9" spans="2:21" ht="25" x14ac:dyDescent="0.5">
      <c r="C9" s="236"/>
      <c r="D9" s="235"/>
      <c r="E9" s="198"/>
      <c r="F9" s="198"/>
      <c r="G9" s="237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</row>
    <row r="10" spans="2:21" ht="25.5" thickBot="1" x14ac:dyDescent="0.55000000000000004">
      <c r="C10" s="236"/>
      <c r="D10" s="235"/>
      <c r="E10" s="217" t="s">
        <v>195</v>
      </c>
      <c r="F10" s="212">
        <v>2024</v>
      </c>
      <c r="G10" s="212">
        <v>2025</v>
      </c>
      <c r="H10" s="212">
        <v>2026</v>
      </c>
      <c r="I10" s="212">
        <v>2027</v>
      </c>
      <c r="J10" s="212">
        <v>2028</v>
      </c>
      <c r="K10" s="212">
        <v>2029</v>
      </c>
      <c r="L10" s="212">
        <v>2030</v>
      </c>
      <c r="M10" s="212">
        <v>2031</v>
      </c>
      <c r="N10" s="212">
        <v>2032</v>
      </c>
      <c r="O10" s="212">
        <v>2033</v>
      </c>
      <c r="P10" s="212">
        <v>2034</v>
      </c>
      <c r="Q10" s="212">
        <v>2035</v>
      </c>
      <c r="R10" s="212">
        <v>2036</v>
      </c>
      <c r="S10" s="212">
        <v>2037</v>
      </c>
      <c r="T10" s="212">
        <v>2038</v>
      </c>
      <c r="U10" s="212">
        <v>2039</v>
      </c>
    </row>
    <row r="11" spans="2:21" ht="25" x14ac:dyDescent="0.5">
      <c r="C11" s="211" t="s">
        <v>194</v>
      </c>
      <c r="D11" s="210"/>
      <c r="E11" s="209"/>
      <c r="F11" s="207">
        <v>118056.57033674844</v>
      </c>
      <c r="G11" s="207">
        <v>118056.57033674844</v>
      </c>
      <c r="H11" s="207">
        <v>88337.570336748438</v>
      </c>
      <c r="I11" s="207">
        <v>112504.57033674844</v>
      </c>
      <c r="J11" s="207">
        <v>115369.20233674844</v>
      </c>
      <c r="K11" s="207">
        <v>140976.20233674842</v>
      </c>
      <c r="L11" s="207">
        <v>163179.87912394843</v>
      </c>
      <c r="M11" s="207">
        <v>190743.87912394843</v>
      </c>
      <c r="N11" s="207">
        <v>214764.1364533513</v>
      </c>
      <c r="O11" s="207">
        <v>244359.1364533513</v>
      </c>
      <c r="P11" s="207">
        <v>270265.76617886208</v>
      </c>
      <c r="Q11" s="207">
        <v>301970.76617886208</v>
      </c>
      <c r="R11" s="207">
        <v>272243.17098044319</v>
      </c>
      <c r="S11" s="207">
        <v>304988.17098044319</v>
      </c>
      <c r="T11" s="207">
        <v>338888.17098044319</v>
      </c>
      <c r="U11" s="206">
        <v>289355.63439180679</v>
      </c>
    </row>
    <row r="12" spans="2:21" ht="25" x14ac:dyDescent="0.5">
      <c r="C12" s="205" t="s">
        <v>193</v>
      </c>
      <c r="D12" s="204"/>
      <c r="E12" s="204"/>
      <c r="F12" s="234">
        <v>0</v>
      </c>
      <c r="G12" s="233">
        <v>22000</v>
      </c>
      <c r="H12" s="202">
        <v>22400</v>
      </c>
      <c r="I12" s="202">
        <v>22900</v>
      </c>
      <c r="J12" s="202">
        <v>23300</v>
      </c>
      <c r="K12" s="202">
        <v>23800</v>
      </c>
      <c r="L12" s="202">
        <v>24300</v>
      </c>
      <c r="M12" s="202">
        <v>24800</v>
      </c>
      <c r="N12" s="202">
        <v>25300</v>
      </c>
      <c r="O12" s="202">
        <v>25800</v>
      </c>
      <c r="P12" s="202">
        <v>26300</v>
      </c>
      <c r="Q12" s="202">
        <v>26800</v>
      </c>
      <c r="R12" s="202">
        <v>27300</v>
      </c>
      <c r="S12" s="202">
        <v>27800</v>
      </c>
      <c r="T12" s="202">
        <v>28400</v>
      </c>
      <c r="U12" s="232">
        <v>29000</v>
      </c>
    </row>
    <row r="13" spans="2:21" ht="25" x14ac:dyDescent="0.5">
      <c r="C13" s="200" t="s">
        <v>192</v>
      </c>
      <c r="D13" s="187"/>
      <c r="E13" s="199">
        <v>0.02</v>
      </c>
      <c r="F13" s="197">
        <v>0</v>
      </c>
      <c r="G13" s="197">
        <v>2361</v>
      </c>
      <c r="H13" s="197">
        <v>1767</v>
      </c>
      <c r="I13" s="197">
        <v>2250</v>
      </c>
      <c r="J13" s="197">
        <v>2307</v>
      </c>
      <c r="K13" s="197">
        <v>2820</v>
      </c>
      <c r="L13" s="197">
        <v>3264</v>
      </c>
      <c r="M13" s="197">
        <v>3815</v>
      </c>
      <c r="N13" s="197">
        <v>4295</v>
      </c>
      <c r="O13" s="197">
        <v>4887</v>
      </c>
      <c r="P13" s="197">
        <v>5405</v>
      </c>
      <c r="Q13" s="197">
        <v>6039</v>
      </c>
      <c r="R13" s="197">
        <v>5445</v>
      </c>
      <c r="S13" s="197">
        <v>6100</v>
      </c>
      <c r="T13" s="197">
        <v>6778</v>
      </c>
      <c r="U13" s="196">
        <v>5787</v>
      </c>
    </row>
    <row r="14" spans="2:21" ht="25.5" thickBot="1" x14ac:dyDescent="0.55000000000000004">
      <c r="B14" s="195"/>
      <c r="C14" s="194" t="s">
        <v>191</v>
      </c>
      <c r="D14" s="193"/>
      <c r="E14" s="192"/>
      <c r="F14" s="190">
        <v>0</v>
      </c>
      <c r="G14" s="190">
        <v>-54080</v>
      </c>
      <c r="H14" s="190">
        <v>0</v>
      </c>
      <c r="I14" s="190">
        <v>-22285.367999999999</v>
      </c>
      <c r="J14" s="190">
        <v>0</v>
      </c>
      <c r="K14" s="190">
        <v>-4416.3232128</v>
      </c>
      <c r="L14" s="190">
        <v>0</v>
      </c>
      <c r="M14" s="190">
        <v>-4594.7426705971193</v>
      </c>
      <c r="N14" s="190">
        <v>0</v>
      </c>
      <c r="O14" s="190">
        <v>-4780.3702744892435</v>
      </c>
      <c r="P14" s="190">
        <v>0</v>
      </c>
      <c r="Q14" s="190">
        <v>-62566.595198418887</v>
      </c>
      <c r="R14" s="190">
        <v>0</v>
      </c>
      <c r="S14" s="190">
        <v>0</v>
      </c>
      <c r="T14" s="190">
        <v>-84710.536588636387</v>
      </c>
      <c r="U14" s="189">
        <v>-24225.630089834325</v>
      </c>
    </row>
    <row r="15" spans="2:21" ht="25" x14ac:dyDescent="0.5">
      <c r="C15" s="188" t="s">
        <v>190</v>
      </c>
      <c r="D15" s="187"/>
      <c r="E15" s="228"/>
      <c r="F15" s="184">
        <v>118056.57033674844</v>
      </c>
      <c r="G15" s="184">
        <v>88337.570336748438</v>
      </c>
      <c r="H15" s="184">
        <v>112504.57033674844</v>
      </c>
      <c r="I15" s="184">
        <v>115369.20233674844</v>
      </c>
      <c r="J15" s="184">
        <v>140976.20233674842</v>
      </c>
      <c r="K15" s="184">
        <v>163179.87912394843</v>
      </c>
      <c r="L15" s="184">
        <v>190743.87912394843</v>
      </c>
      <c r="M15" s="184">
        <v>214764.1364533513</v>
      </c>
      <c r="N15" s="184">
        <v>244359.1364533513</v>
      </c>
      <c r="O15" s="184">
        <v>270265.76617886208</v>
      </c>
      <c r="P15" s="184">
        <v>301970.76617886208</v>
      </c>
      <c r="Q15" s="184">
        <v>272243.17098044319</v>
      </c>
      <c r="R15" s="184">
        <v>304988.17098044319</v>
      </c>
      <c r="S15" s="184">
        <v>338888.17098044319</v>
      </c>
      <c r="T15" s="184">
        <v>289355.63439180679</v>
      </c>
      <c r="U15" s="184">
        <v>299917.00430197245</v>
      </c>
    </row>
    <row r="16" spans="2:21" ht="25" x14ac:dyDescent="0.5">
      <c r="C16" s="214"/>
      <c r="D16" s="198"/>
      <c r="E16" s="228"/>
      <c r="F16" s="178"/>
      <c r="G16" s="178"/>
      <c r="H16" s="178" t="s">
        <v>188</v>
      </c>
      <c r="I16" s="178" t="s">
        <v>188</v>
      </c>
      <c r="J16" s="178" t="s">
        <v>188</v>
      </c>
      <c r="K16" s="178" t="s">
        <v>188</v>
      </c>
      <c r="L16" s="178" t="s">
        <v>188</v>
      </c>
      <c r="M16" s="178" t="s">
        <v>188</v>
      </c>
      <c r="N16" s="178" t="s">
        <v>188</v>
      </c>
      <c r="O16" s="178" t="s">
        <v>188</v>
      </c>
      <c r="P16" s="178" t="s">
        <v>188</v>
      </c>
      <c r="Q16" s="178" t="s">
        <v>188</v>
      </c>
      <c r="R16" s="178" t="s">
        <v>188</v>
      </c>
      <c r="S16" s="178" t="s">
        <v>188</v>
      </c>
      <c r="T16" s="178" t="s">
        <v>188</v>
      </c>
      <c r="U16" s="178" t="s">
        <v>188</v>
      </c>
    </row>
    <row r="17" spans="2:21" ht="25" x14ac:dyDescent="0.5">
      <c r="C17" s="231"/>
      <c r="D17" s="230"/>
      <c r="E17" s="229"/>
      <c r="F17" s="178"/>
      <c r="G17" s="178"/>
      <c r="H17" s="178" t="s">
        <v>188</v>
      </c>
      <c r="I17" s="178" t="s">
        <v>188</v>
      </c>
      <c r="J17" s="178" t="s">
        <v>188</v>
      </c>
      <c r="K17" s="178" t="s">
        <v>188</v>
      </c>
      <c r="L17" s="178" t="s">
        <v>188</v>
      </c>
      <c r="M17" s="178" t="s">
        <v>188</v>
      </c>
      <c r="N17" s="178" t="s">
        <v>188</v>
      </c>
      <c r="O17" s="178" t="s">
        <v>188</v>
      </c>
      <c r="P17" s="178" t="s">
        <v>188</v>
      </c>
      <c r="Q17" s="178" t="s">
        <v>188</v>
      </c>
      <c r="R17" s="178" t="s">
        <v>188</v>
      </c>
      <c r="S17" s="178" t="s">
        <v>188</v>
      </c>
      <c r="T17" s="178" t="s">
        <v>188</v>
      </c>
      <c r="U17" s="178" t="s">
        <v>188</v>
      </c>
    </row>
    <row r="18" spans="2:21" ht="25" x14ac:dyDescent="0.5">
      <c r="C18" s="214"/>
      <c r="D18" s="198"/>
      <c r="E18" s="228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7"/>
      <c r="S18" s="226"/>
      <c r="T18" s="198"/>
      <c r="U18" s="225"/>
    </row>
    <row r="19" spans="2:21" ht="26" x14ac:dyDescent="0.6">
      <c r="C19" s="214"/>
      <c r="D19" s="222" t="s">
        <v>188</v>
      </c>
      <c r="E19" s="188"/>
      <c r="F19" s="198"/>
      <c r="G19" s="198"/>
      <c r="H19" s="198"/>
      <c r="I19" s="198"/>
      <c r="J19" s="198"/>
      <c r="K19" s="198"/>
      <c r="L19" s="198"/>
      <c r="M19" s="220"/>
      <c r="N19" s="219"/>
      <c r="O19" s="219"/>
      <c r="P19" s="187"/>
      <c r="Q19" s="224"/>
      <c r="R19" s="223"/>
      <c r="S19" s="223"/>
      <c r="T19" s="198"/>
      <c r="U19" s="198"/>
    </row>
    <row r="20" spans="2:21" ht="26" x14ac:dyDescent="0.6">
      <c r="C20" s="214"/>
      <c r="D20" s="222" t="s">
        <v>188</v>
      </c>
      <c r="E20" s="188"/>
      <c r="F20" s="215"/>
      <c r="G20" s="198"/>
      <c r="H20" s="198"/>
      <c r="I20" s="198"/>
      <c r="J20" s="198"/>
      <c r="K20" s="198"/>
      <c r="L20" s="221"/>
      <c r="M20" s="220"/>
      <c r="N20" s="219"/>
      <c r="O20" s="219"/>
      <c r="P20" s="218"/>
      <c r="Q20" s="218"/>
      <c r="R20" s="218"/>
      <c r="S20" s="218"/>
      <c r="T20" s="218"/>
      <c r="U20" s="218"/>
    </row>
    <row r="21" spans="2:21" ht="25" x14ac:dyDescent="0.5">
      <c r="C21" s="214"/>
      <c r="D21" s="217"/>
      <c r="E21" s="198"/>
      <c r="F21" s="198"/>
      <c r="G21" s="216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</row>
    <row r="22" spans="2:21" ht="25.5" thickBot="1" x14ac:dyDescent="0.55000000000000004">
      <c r="C22" s="214"/>
      <c r="D22" s="213" t="s">
        <v>188</v>
      </c>
      <c r="E22" s="188"/>
      <c r="F22" s="188"/>
      <c r="G22" s="212">
        <v>2040</v>
      </c>
      <c r="H22" s="212">
        <v>2041</v>
      </c>
      <c r="I22" s="212">
        <v>2042</v>
      </c>
      <c r="J22" s="212">
        <v>2043</v>
      </c>
      <c r="K22" s="212">
        <v>2044</v>
      </c>
      <c r="L22" s="212">
        <v>2045</v>
      </c>
      <c r="M22" s="212">
        <v>2046</v>
      </c>
      <c r="N22" s="212">
        <v>2047</v>
      </c>
      <c r="O22" s="212">
        <v>2048</v>
      </c>
      <c r="P22" s="212">
        <v>2049</v>
      </c>
      <c r="Q22" s="212">
        <v>2050</v>
      </c>
      <c r="R22" s="212">
        <v>2051</v>
      </c>
      <c r="S22" s="212">
        <v>2052</v>
      </c>
      <c r="T22" s="212">
        <v>2053</v>
      </c>
      <c r="U22" s="212">
        <v>2054</v>
      </c>
    </row>
    <row r="23" spans="2:21" ht="25" x14ac:dyDescent="0.5">
      <c r="C23" s="211" t="s">
        <v>194</v>
      </c>
      <c r="D23" s="210"/>
      <c r="E23" s="209"/>
      <c r="F23" s="208"/>
      <c r="G23" s="207">
        <v>299917.00430197245</v>
      </c>
      <c r="H23" s="207">
        <v>328651.07577651937</v>
      </c>
      <c r="I23" s="207">
        <v>365424.07577651937</v>
      </c>
      <c r="J23" s="207">
        <v>403532.07577651937</v>
      </c>
      <c r="K23" s="207">
        <v>443003.07577651937</v>
      </c>
      <c r="L23" s="207">
        <v>483863.07577651937</v>
      </c>
      <c r="M23" s="207">
        <v>449871.74535157596</v>
      </c>
      <c r="N23" s="207">
        <v>223168.2826365729</v>
      </c>
      <c r="O23" s="207">
        <v>261631.2826365729</v>
      </c>
      <c r="P23" s="207">
        <v>185756.80067435669</v>
      </c>
      <c r="Q23" s="207">
        <v>224871.80067435669</v>
      </c>
      <c r="R23" s="207">
        <v>258775.12821694059</v>
      </c>
      <c r="S23" s="207">
        <v>300751.12821694056</v>
      </c>
      <c r="T23" s="207">
        <v>195930.86585092198</v>
      </c>
      <c r="U23" s="206">
        <v>238149.86585092198</v>
      </c>
    </row>
    <row r="24" spans="2:21" ht="25" x14ac:dyDescent="0.5">
      <c r="C24" s="205" t="s">
        <v>193</v>
      </c>
      <c r="D24" s="204"/>
      <c r="E24" s="204"/>
      <c r="F24" s="203"/>
      <c r="G24" s="202">
        <v>29600</v>
      </c>
      <c r="H24" s="202">
        <v>30200</v>
      </c>
      <c r="I24" s="202">
        <v>30800</v>
      </c>
      <c r="J24" s="202">
        <v>31400</v>
      </c>
      <c r="K24" s="202">
        <v>32000</v>
      </c>
      <c r="L24" s="202">
        <v>32600</v>
      </c>
      <c r="M24" s="202">
        <v>33300</v>
      </c>
      <c r="N24" s="202">
        <v>34000</v>
      </c>
      <c r="O24" s="202">
        <v>34700</v>
      </c>
      <c r="P24" s="202">
        <v>35400</v>
      </c>
      <c r="Q24" s="202">
        <v>36100</v>
      </c>
      <c r="R24" s="202">
        <v>36800</v>
      </c>
      <c r="S24" s="202">
        <v>37500</v>
      </c>
      <c r="T24" s="202">
        <v>38300</v>
      </c>
      <c r="U24" s="201">
        <v>39100</v>
      </c>
    </row>
    <row r="25" spans="2:21" ht="25" x14ac:dyDescent="0.5">
      <c r="C25" s="200" t="s">
        <v>192</v>
      </c>
      <c r="D25" s="187"/>
      <c r="E25" s="199">
        <v>0.02</v>
      </c>
      <c r="F25" s="198"/>
      <c r="G25" s="197">
        <v>5998</v>
      </c>
      <c r="H25" s="197">
        <v>6573</v>
      </c>
      <c r="I25" s="197">
        <v>7308</v>
      </c>
      <c r="J25" s="197">
        <v>8071</v>
      </c>
      <c r="K25" s="197">
        <v>8860</v>
      </c>
      <c r="L25" s="197">
        <v>9677</v>
      </c>
      <c r="M25" s="197">
        <v>8997</v>
      </c>
      <c r="N25" s="197">
        <v>4463</v>
      </c>
      <c r="O25" s="197">
        <v>5233</v>
      </c>
      <c r="P25" s="197">
        <v>3715</v>
      </c>
      <c r="Q25" s="197">
        <v>4497</v>
      </c>
      <c r="R25" s="197">
        <v>5176</v>
      </c>
      <c r="S25" s="197">
        <v>6015</v>
      </c>
      <c r="T25" s="197">
        <v>3919</v>
      </c>
      <c r="U25" s="196">
        <v>4763</v>
      </c>
    </row>
    <row r="26" spans="2:21" ht="25.5" thickBot="1" x14ac:dyDescent="0.55000000000000004">
      <c r="B26" s="195"/>
      <c r="C26" s="194" t="s">
        <v>191</v>
      </c>
      <c r="D26" s="193"/>
      <c r="E26" s="192"/>
      <c r="F26" s="191"/>
      <c r="G26" s="190">
        <v>-6863.9285254530605</v>
      </c>
      <c r="H26" s="190">
        <v>0</v>
      </c>
      <c r="I26" s="190">
        <v>0</v>
      </c>
      <c r="J26" s="190">
        <v>0</v>
      </c>
      <c r="K26" s="190">
        <v>0</v>
      </c>
      <c r="L26" s="190">
        <v>-76268.3304249434</v>
      </c>
      <c r="M26" s="190">
        <v>-269000.46271500306</v>
      </c>
      <c r="N26" s="190">
        <v>0</v>
      </c>
      <c r="O26" s="190">
        <v>-115807.4819622162</v>
      </c>
      <c r="P26" s="190">
        <v>0</v>
      </c>
      <c r="Q26" s="190">
        <v>-6693.6724574160971</v>
      </c>
      <c r="R26" s="190">
        <v>0</v>
      </c>
      <c r="S26" s="190">
        <v>-148335.26236601858</v>
      </c>
      <c r="T26" s="190">
        <v>0</v>
      </c>
      <c r="U26" s="189">
        <v>-233665.64434933261</v>
      </c>
    </row>
    <row r="27" spans="2:21" ht="25" x14ac:dyDescent="0.5">
      <c r="C27" s="188" t="s">
        <v>190</v>
      </c>
      <c r="D27" s="187"/>
      <c r="E27" s="186"/>
      <c r="F27" s="185"/>
      <c r="G27" s="184">
        <v>328651.07577651937</v>
      </c>
      <c r="H27" s="184">
        <v>365424.07577651937</v>
      </c>
      <c r="I27" s="184">
        <v>403532.07577651937</v>
      </c>
      <c r="J27" s="184">
        <v>443003.07577651937</v>
      </c>
      <c r="K27" s="184">
        <v>483863.07577651937</v>
      </c>
      <c r="L27" s="184">
        <v>449871.74535157596</v>
      </c>
      <c r="M27" s="184">
        <v>223168.2826365729</v>
      </c>
      <c r="N27" s="184">
        <v>261631.2826365729</v>
      </c>
      <c r="O27" s="184">
        <v>185756.80067435669</v>
      </c>
      <c r="P27" s="184">
        <v>224871.80067435669</v>
      </c>
      <c r="Q27" s="184">
        <v>258775.12821694059</v>
      </c>
      <c r="R27" s="184">
        <v>300751.12821694056</v>
      </c>
      <c r="S27" s="184">
        <v>195930.86585092198</v>
      </c>
      <c r="T27" s="184">
        <v>238149.86585092198</v>
      </c>
      <c r="U27" s="184">
        <v>48347.221501589345</v>
      </c>
    </row>
    <row r="28" spans="2:21" ht="22.5" x14ac:dyDescent="0.45">
      <c r="C28" s="183"/>
      <c r="D28" s="182"/>
      <c r="E28" s="181"/>
      <c r="F28" s="180"/>
      <c r="G28" s="178" t="s">
        <v>188</v>
      </c>
      <c r="H28" s="178" t="s">
        <v>188</v>
      </c>
      <c r="I28" s="178" t="s">
        <v>188</v>
      </c>
      <c r="J28" s="178" t="s">
        <v>188</v>
      </c>
      <c r="K28" s="178" t="s">
        <v>188</v>
      </c>
      <c r="L28" s="178" t="s">
        <v>188</v>
      </c>
      <c r="M28" s="178" t="s">
        <v>188</v>
      </c>
      <c r="N28" s="178" t="s">
        <v>188</v>
      </c>
      <c r="O28" s="178" t="s">
        <v>188</v>
      </c>
      <c r="P28" s="178" t="s">
        <v>188</v>
      </c>
      <c r="Q28" s="178" t="s">
        <v>188</v>
      </c>
      <c r="R28" s="178" t="s">
        <v>188</v>
      </c>
      <c r="S28" s="178" t="s">
        <v>188</v>
      </c>
      <c r="T28" s="178" t="s">
        <v>188</v>
      </c>
      <c r="U28" s="178" t="s">
        <v>189</v>
      </c>
    </row>
    <row r="29" spans="2:21" ht="22.5" x14ac:dyDescent="0.45">
      <c r="E29" s="179"/>
      <c r="F29" s="173"/>
      <c r="G29" s="178" t="s">
        <v>188</v>
      </c>
      <c r="H29" s="178" t="s">
        <v>188</v>
      </c>
      <c r="I29" s="178" t="s">
        <v>188</v>
      </c>
      <c r="J29" s="178" t="s">
        <v>188</v>
      </c>
      <c r="K29" s="178" t="s">
        <v>188</v>
      </c>
      <c r="L29" s="178" t="s">
        <v>188</v>
      </c>
      <c r="M29" s="178" t="s">
        <v>188</v>
      </c>
      <c r="N29" s="178" t="s">
        <v>188</v>
      </c>
      <c r="O29" s="178" t="s">
        <v>188</v>
      </c>
      <c r="P29" s="178" t="s">
        <v>188</v>
      </c>
      <c r="Q29" s="178" t="s">
        <v>188</v>
      </c>
      <c r="R29" s="178" t="s">
        <v>188</v>
      </c>
      <c r="S29" s="178" t="s">
        <v>188</v>
      </c>
      <c r="T29" s="178" t="s">
        <v>188</v>
      </c>
      <c r="U29" s="178" t="s">
        <v>187</v>
      </c>
    </row>
    <row r="30" spans="2:21" ht="27" x14ac:dyDescent="0.5">
      <c r="C30" s="177" t="s">
        <v>186</v>
      </c>
      <c r="D30" s="176"/>
      <c r="E30" s="170"/>
      <c r="F30" s="169"/>
      <c r="G30" s="169"/>
      <c r="H30" s="169"/>
      <c r="I30" s="169"/>
      <c r="J30" s="175"/>
      <c r="K30" s="175"/>
      <c r="L30" s="169"/>
      <c r="M30" s="174"/>
      <c r="O30" s="173"/>
      <c r="P30" s="173"/>
      <c r="Q30" s="173"/>
      <c r="R30" s="173"/>
      <c r="S30" s="173"/>
      <c r="T30" s="173"/>
      <c r="U30" s="173"/>
    </row>
    <row r="31" spans="2:21" ht="22.5" x14ac:dyDescent="0.45">
      <c r="C31" s="167" t="s">
        <v>185</v>
      </c>
      <c r="D31" s="166"/>
      <c r="E31" s="170"/>
      <c r="F31" s="169"/>
      <c r="G31" s="169"/>
      <c r="H31" s="169"/>
      <c r="I31" s="169"/>
      <c r="J31" s="175"/>
      <c r="K31" s="175"/>
      <c r="L31" s="169"/>
      <c r="M31" s="174"/>
      <c r="O31" s="173"/>
      <c r="P31" s="172"/>
      <c r="Q31" s="172"/>
      <c r="R31" s="172"/>
      <c r="S31" s="172"/>
      <c r="T31" s="172"/>
      <c r="U31" s="172"/>
    </row>
    <row r="32" spans="2:21" ht="22.5" x14ac:dyDescent="0.45">
      <c r="C32" s="171" t="s">
        <v>184</v>
      </c>
      <c r="D32" s="166"/>
      <c r="E32" s="170"/>
      <c r="F32" s="169"/>
      <c r="G32" s="165"/>
      <c r="H32" s="168"/>
      <c r="I32" s="165"/>
      <c r="J32" s="165"/>
      <c r="K32" s="165"/>
      <c r="L32" s="165"/>
    </row>
    <row r="33" spans="3:12" ht="22.5" x14ac:dyDescent="0.45">
      <c r="C33" s="167" t="s">
        <v>183</v>
      </c>
      <c r="D33" s="166"/>
      <c r="E33" s="165"/>
      <c r="F33" s="165"/>
      <c r="G33" s="165"/>
      <c r="H33" s="165"/>
      <c r="I33" s="165"/>
      <c r="J33" s="165"/>
      <c r="K33" s="165"/>
      <c r="L33" s="165"/>
    </row>
    <row r="34" spans="3:12" ht="22.5" x14ac:dyDescent="0.45">
      <c r="C34" s="167" t="s">
        <v>182</v>
      </c>
      <c r="D34" s="166"/>
      <c r="E34" s="165"/>
      <c r="F34" s="165"/>
      <c r="G34" s="165"/>
      <c r="H34" s="165"/>
      <c r="I34" s="165"/>
      <c r="J34" s="165"/>
      <c r="L34" s="165"/>
    </row>
    <row r="35" spans="3:12" ht="21" x14ac:dyDescent="0.5">
      <c r="G35" s="164"/>
      <c r="H35" s="163"/>
    </row>
  </sheetData>
  <mergeCells count="5">
    <mergeCell ref="B2:T2"/>
    <mergeCell ref="B3:U3"/>
    <mergeCell ref="B4:U4"/>
    <mergeCell ref="B6:U6"/>
    <mergeCell ref="B7:U7"/>
  </mergeCells>
  <conditionalFormatting sqref="B6:U7">
    <cfRule type="containsText" dxfId="26" priority="3" operator="containsText" text="Info Tab">
      <formula>NOT(ISERROR(SEARCH("Info Tab",B6)))</formula>
    </cfRule>
  </conditionalFormatting>
  <conditionalFormatting sqref="F16:U16 G28:U28">
    <cfRule type="expression" dxfId="25" priority="2">
      <formula>F16="Threshold/"</formula>
    </cfRule>
  </conditionalFormatting>
  <conditionalFormatting sqref="F17:U17 G29:U29">
    <cfRule type="expression" dxfId="24" priority="1">
      <formula>F17="Risk Year"</formula>
    </cfRule>
  </conditionalFormatting>
  <conditionalFormatting sqref="G10:H10">
    <cfRule type="expression" dxfId="23" priority="7">
      <formula>#REF!=2</formula>
    </cfRule>
  </conditionalFormatting>
  <conditionalFormatting sqref="G10:I10">
    <cfRule type="expression" dxfId="22" priority="6">
      <formula>#REF!=3</formula>
    </cfRule>
  </conditionalFormatting>
  <conditionalFormatting sqref="G10:J10">
    <cfRule type="expression" dxfId="21" priority="5">
      <formula>#REF!=4</formula>
    </cfRule>
  </conditionalFormatting>
  <conditionalFormatting sqref="G10:K10">
    <cfRule type="expression" dxfId="20" priority="4">
      <formula>#REF!=5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023A-9A8B-474F-A69C-9D1D7A09DFDB}">
  <dimension ref="B2:U35"/>
  <sheetViews>
    <sheetView showGridLines="0" topLeftCell="A5" zoomScale="60" zoomScaleNormal="60" workbookViewId="0">
      <selection activeCell="G12" sqref="G12"/>
    </sheetView>
  </sheetViews>
  <sheetFormatPr defaultColWidth="9" defaultRowHeight="14.5" x14ac:dyDescent="0.35"/>
  <cols>
    <col min="1" max="1" width="9" style="8"/>
    <col min="2" max="2" width="5.1640625" style="8" customWidth="1"/>
    <col min="3" max="3" width="10.6640625" style="8" customWidth="1"/>
    <col min="4" max="4" width="64.1640625" style="8" customWidth="1"/>
    <col min="5" max="5" width="13.5" style="8" customWidth="1"/>
    <col min="6" max="6" width="15.6640625" style="8" customWidth="1"/>
    <col min="7" max="7" width="16.33203125" style="8" customWidth="1"/>
    <col min="8" max="21" width="15" style="8" customWidth="1"/>
    <col min="22" max="16384" width="9" style="8"/>
  </cols>
  <sheetData>
    <row r="2" spans="2:21" ht="30.5" x14ac:dyDescent="0.35">
      <c r="B2" s="413" t="s">
        <v>199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241" t="s">
        <v>198</v>
      </c>
    </row>
    <row r="3" spans="2:21" ht="44.5" x14ac:dyDescent="0.85">
      <c r="B3" s="414" t="s">
        <v>197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</row>
    <row r="4" spans="2:21" ht="44.5" x14ac:dyDescent="0.85">
      <c r="B4" s="414" t="s">
        <v>200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</row>
    <row r="6" spans="2:21" ht="35" x14ac:dyDescent="0.35">
      <c r="B6" s="415" t="s">
        <v>75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</row>
    <row r="7" spans="2:21" ht="35" x14ac:dyDescent="0.35">
      <c r="B7" s="415" t="s">
        <v>178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</row>
    <row r="8" spans="2:21" ht="18" x14ac:dyDescent="0.4">
      <c r="C8" s="240"/>
      <c r="D8" s="172"/>
      <c r="E8" s="239"/>
      <c r="F8" s="182"/>
      <c r="G8" s="172"/>
      <c r="H8" s="238"/>
      <c r="I8" s="238"/>
      <c r="J8" s="238"/>
      <c r="K8" s="238"/>
      <c r="L8" s="238"/>
      <c r="M8" s="172"/>
      <c r="N8" s="182"/>
      <c r="O8" s="182"/>
      <c r="P8" s="182"/>
      <c r="Q8" s="182"/>
      <c r="R8" s="182"/>
      <c r="S8" s="182"/>
      <c r="T8" s="182"/>
      <c r="U8" s="182"/>
    </row>
    <row r="9" spans="2:21" ht="25" x14ac:dyDescent="0.5">
      <c r="C9" s="236"/>
      <c r="D9" s="235"/>
      <c r="E9" s="198"/>
      <c r="F9" s="198"/>
      <c r="G9" s="237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</row>
    <row r="10" spans="2:21" ht="25.5" thickBot="1" x14ac:dyDescent="0.55000000000000004">
      <c r="C10" s="236"/>
      <c r="D10" s="235"/>
      <c r="E10" s="217" t="s">
        <v>195</v>
      </c>
      <c r="F10" s="212">
        <v>2024</v>
      </c>
      <c r="G10" s="212">
        <v>2025</v>
      </c>
      <c r="H10" s="212">
        <v>2026</v>
      </c>
      <c r="I10" s="212">
        <v>2027</v>
      </c>
      <c r="J10" s="212">
        <v>2028</v>
      </c>
      <c r="K10" s="212">
        <v>2029</v>
      </c>
      <c r="L10" s="212">
        <v>2030</v>
      </c>
      <c r="M10" s="212">
        <v>2031</v>
      </c>
      <c r="N10" s="212">
        <v>2032</v>
      </c>
      <c r="O10" s="212">
        <v>2033</v>
      </c>
      <c r="P10" s="212">
        <v>2034</v>
      </c>
      <c r="Q10" s="212">
        <v>2035</v>
      </c>
      <c r="R10" s="212">
        <v>2036</v>
      </c>
      <c r="S10" s="212">
        <v>2037</v>
      </c>
      <c r="T10" s="212">
        <v>2038</v>
      </c>
      <c r="U10" s="212">
        <v>2039</v>
      </c>
    </row>
    <row r="11" spans="2:21" ht="25" x14ac:dyDescent="0.5">
      <c r="C11" s="211" t="s">
        <v>194</v>
      </c>
      <c r="D11" s="210"/>
      <c r="E11" s="209"/>
      <c r="F11" s="207">
        <v>53102.429663251547</v>
      </c>
      <c r="G11" s="207">
        <v>53102.429663251547</v>
      </c>
      <c r="H11" s="207">
        <v>26664.429663251547</v>
      </c>
      <c r="I11" s="207">
        <v>40497.429663251547</v>
      </c>
      <c r="J11" s="207">
        <v>54907.429663251547</v>
      </c>
      <c r="K11" s="207">
        <v>21693.901256851546</v>
      </c>
      <c r="L11" s="207">
        <v>36327.901256851546</v>
      </c>
      <c r="M11" s="207">
        <v>40293.27706421155</v>
      </c>
      <c r="N11" s="207">
        <v>55899.27706421155</v>
      </c>
      <c r="O11" s="207">
        <v>72117.27706421155</v>
      </c>
      <c r="P11" s="207">
        <v>82696.992004630636</v>
      </c>
      <c r="Q11" s="207">
        <v>100050.99200463064</v>
      </c>
      <c r="R11" s="207">
        <v>118051.99200463064</v>
      </c>
      <c r="S11" s="207">
        <v>136712.99200463062</v>
      </c>
      <c r="T11" s="207">
        <v>156046.99200463062</v>
      </c>
      <c r="U11" s="206">
        <v>169153.92328618118</v>
      </c>
    </row>
    <row r="12" spans="2:21" ht="25" x14ac:dyDescent="0.5">
      <c r="C12" s="205" t="s">
        <v>193</v>
      </c>
      <c r="D12" s="204"/>
      <c r="E12" s="204"/>
      <c r="F12" s="234">
        <v>0</v>
      </c>
      <c r="G12" s="233">
        <v>13000</v>
      </c>
      <c r="H12" s="202">
        <v>13300</v>
      </c>
      <c r="I12" s="202">
        <v>13600</v>
      </c>
      <c r="J12" s="202">
        <v>13900</v>
      </c>
      <c r="K12" s="202">
        <v>14200</v>
      </c>
      <c r="L12" s="202">
        <v>14500</v>
      </c>
      <c r="M12" s="202">
        <v>14800</v>
      </c>
      <c r="N12" s="202">
        <v>15100</v>
      </c>
      <c r="O12" s="202">
        <v>15400</v>
      </c>
      <c r="P12" s="202">
        <v>15700</v>
      </c>
      <c r="Q12" s="202">
        <v>16000</v>
      </c>
      <c r="R12" s="202">
        <v>16300</v>
      </c>
      <c r="S12" s="202">
        <v>16600</v>
      </c>
      <c r="T12" s="202">
        <v>16900</v>
      </c>
      <c r="U12" s="232">
        <v>17200</v>
      </c>
    </row>
    <row r="13" spans="2:21" ht="25" x14ac:dyDescent="0.5">
      <c r="C13" s="200" t="s">
        <v>192</v>
      </c>
      <c r="D13" s="187"/>
      <c r="E13" s="199">
        <v>0.02</v>
      </c>
      <c r="F13" s="197">
        <v>0</v>
      </c>
      <c r="G13" s="197">
        <v>1062</v>
      </c>
      <c r="H13" s="197">
        <v>533</v>
      </c>
      <c r="I13" s="197">
        <v>810</v>
      </c>
      <c r="J13" s="197">
        <v>1098</v>
      </c>
      <c r="K13" s="197">
        <v>434</v>
      </c>
      <c r="L13" s="197">
        <v>727</v>
      </c>
      <c r="M13" s="197">
        <v>806</v>
      </c>
      <c r="N13" s="197">
        <v>1118</v>
      </c>
      <c r="O13" s="197">
        <v>1442</v>
      </c>
      <c r="P13" s="197">
        <v>1654</v>
      </c>
      <c r="Q13" s="197">
        <v>2001</v>
      </c>
      <c r="R13" s="197">
        <v>2361</v>
      </c>
      <c r="S13" s="197">
        <v>2734</v>
      </c>
      <c r="T13" s="197">
        <v>3121</v>
      </c>
      <c r="U13" s="196">
        <v>3383</v>
      </c>
    </row>
    <row r="14" spans="2:21" ht="25.5" thickBot="1" x14ac:dyDescent="0.55000000000000004">
      <c r="B14" s="195"/>
      <c r="C14" s="194" t="s">
        <v>191</v>
      </c>
      <c r="D14" s="193"/>
      <c r="E14" s="192"/>
      <c r="F14" s="190">
        <v>0</v>
      </c>
      <c r="G14" s="190">
        <v>-40500</v>
      </c>
      <c r="H14" s="190">
        <v>0</v>
      </c>
      <c r="I14" s="190">
        <v>0</v>
      </c>
      <c r="J14" s="190">
        <v>-48211.528406400001</v>
      </c>
      <c r="K14" s="190">
        <v>0</v>
      </c>
      <c r="L14" s="190">
        <v>-11261.62419264</v>
      </c>
      <c r="M14" s="190">
        <v>0</v>
      </c>
      <c r="N14" s="190">
        <v>0</v>
      </c>
      <c r="O14" s="190">
        <v>-6262.2850595809086</v>
      </c>
      <c r="P14" s="190">
        <v>0</v>
      </c>
      <c r="Q14" s="190">
        <v>0</v>
      </c>
      <c r="R14" s="190">
        <v>0</v>
      </c>
      <c r="S14" s="190">
        <v>0</v>
      </c>
      <c r="T14" s="190">
        <v>-6914.06871844945</v>
      </c>
      <c r="U14" s="189">
        <v>0</v>
      </c>
    </row>
    <row r="15" spans="2:21" ht="25" x14ac:dyDescent="0.5">
      <c r="C15" s="188" t="s">
        <v>190</v>
      </c>
      <c r="D15" s="187"/>
      <c r="E15" s="228"/>
      <c r="F15" s="184">
        <v>53102.429663251547</v>
      </c>
      <c r="G15" s="184">
        <v>26664.429663251547</v>
      </c>
      <c r="H15" s="184">
        <v>40497.429663251547</v>
      </c>
      <c r="I15" s="184">
        <v>54907.429663251547</v>
      </c>
      <c r="J15" s="184">
        <v>21693.901256851546</v>
      </c>
      <c r="K15" s="184">
        <v>36327.901256851546</v>
      </c>
      <c r="L15" s="184">
        <v>40293.27706421155</v>
      </c>
      <c r="M15" s="184">
        <v>55899.27706421155</v>
      </c>
      <c r="N15" s="184">
        <v>72117.27706421155</v>
      </c>
      <c r="O15" s="184">
        <v>82696.992004630636</v>
      </c>
      <c r="P15" s="184">
        <v>100050.99200463064</v>
      </c>
      <c r="Q15" s="184">
        <v>118051.99200463064</v>
      </c>
      <c r="R15" s="184">
        <v>136712.99200463062</v>
      </c>
      <c r="S15" s="184">
        <v>156046.99200463062</v>
      </c>
      <c r="T15" s="184">
        <v>169153.92328618118</v>
      </c>
      <c r="U15" s="184">
        <v>189736.92328618118</v>
      </c>
    </row>
    <row r="16" spans="2:21" ht="25" x14ac:dyDescent="0.5">
      <c r="C16" s="214"/>
      <c r="D16" s="198"/>
      <c r="E16" s="228"/>
      <c r="F16" s="178" t="s">
        <v>188</v>
      </c>
      <c r="G16" s="178" t="s">
        <v>188</v>
      </c>
      <c r="H16" s="178" t="s">
        <v>188</v>
      </c>
      <c r="I16" s="178" t="s">
        <v>188</v>
      </c>
      <c r="J16" s="178" t="s">
        <v>189</v>
      </c>
      <c r="K16" s="178" t="s">
        <v>188</v>
      </c>
      <c r="L16" s="178" t="s">
        <v>188</v>
      </c>
      <c r="M16" s="178" t="s">
        <v>188</v>
      </c>
      <c r="N16" s="178" t="s">
        <v>188</v>
      </c>
      <c r="O16" s="178" t="s">
        <v>188</v>
      </c>
      <c r="P16" s="178" t="s">
        <v>188</v>
      </c>
      <c r="Q16" s="178" t="s">
        <v>188</v>
      </c>
      <c r="R16" s="178" t="s">
        <v>188</v>
      </c>
      <c r="S16" s="178" t="s">
        <v>188</v>
      </c>
      <c r="T16" s="178" t="s">
        <v>188</v>
      </c>
      <c r="U16" s="178" t="s">
        <v>188</v>
      </c>
    </row>
    <row r="17" spans="2:21" ht="25" x14ac:dyDescent="0.5">
      <c r="C17" s="231"/>
      <c r="D17" s="230"/>
      <c r="E17" s="229"/>
      <c r="F17" s="178" t="s">
        <v>188</v>
      </c>
      <c r="G17" s="178" t="s">
        <v>188</v>
      </c>
      <c r="H17" s="178" t="s">
        <v>188</v>
      </c>
      <c r="I17" s="178" t="s">
        <v>188</v>
      </c>
      <c r="J17" s="178" t="s">
        <v>187</v>
      </c>
      <c r="K17" s="178" t="s">
        <v>188</v>
      </c>
      <c r="L17" s="178" t="s">
        <v>188</v>
      </c>
      <c r="M17" s="178" t="s">
        <v>188</v>
      </c>
      <c r="N17" s="178" t="s">
        <v>188</v>
      </c>
      <c r="O17" s="178" t="s">
        <v>188</v>
      </c>
      <c r="P17" s="178" t="s">
        <v>188</v>
      </c>
      <c r="Q17" s="178" t="s">
        <v>188</v>
      </c>
      <c r="R17" s="178" t="s">
        <v>188</v>
      </c>
      <c r="S17" s="178" t="s">
        <v>188</v>
      </c>
      <c r="T17" s="178" t="s">
        <v>188</v>
      </c>
      <c r="U17" s="178" t="s">
        <v>188</v>
      </c>
    </row>
    <row r="18" spans="2:21" ht="25" x14ac:dyDescent="0.5">
      <c r="C18" s="214"/>
      <c r="D18" s="198"/>
      <c r="E18" s="228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7"/>
      <c r="S18" s="226"/>
      <c r="T18" s="198"/>
      <c r="U18" s="225"/>
    </row>
    <row r="19" spans="2:21" ht="26" x14ac:dyDescent="0.6">
      <c r="C19" s="214"/>
      <c r="D19" s="222" t="s">
        <v>188</v>
      </c>
      <c r="E19" s="188"/>
      <c r="F19" s="198"/>
      <c r="G19" s="198"/>
      <c r="H19" s="198"/>
      <c r="I19" s="198"/>
      <c r="J19" s="198"/>
      <c r="K19" s="198"/>
      <c r="L19" s="198"/>
      <c r="M19" s="220"/>
      <c r="N19" s="219"/>
      <c r="O19" s="219"/>
      <c r="P19" s="187"/>
      <c r="Q19" s="224"/>
      <c r="R19" s="223"/>
      <c r="S19" s="223"/>
      <c r="T19" s="198"/>
      <c r="U19" s="198"/>
    </row>
    <row r="20" spans="2:21" ht="26" x14ac:dyDescent="0.6">
      <c r="C20" s="214"/>
      <c r="D20" s="222" t="s">
        <v>188</v>
      </c>
      <c r="E20" s="188"/>
      <c r="F20" s="215"/>
      <c r="G20" s="198"/>
      <c r="H20" s="198"/>
      <c r="I20" s="198"/>
      <c r="J20" s="198"/>
      <c r="K20" s="198"/>
      <c r="L20" s="221"/>
      <c r="M20" s="220"/>
      <c r="N20" s="219"/>
      <c r="O20" s="219"/>
      <c r="P20" s="218"/>
      <c r="Q20" s="218"/>
      <c r="R20" s="218"/>
      <c r="S20" s="218"/>
      <c r="T20" s="218"/>
      <c r="U20" s="218"/>
    </row>
    <row r="21" spans="2:21" ht="25" x14ac:dyDescent="0.5">
      <c r="C21" s="214"/>
      <c r="D21" s="217"/>
      <c r="E21" s="198"/>
      <c r="F21" s="198"/>
      <c r="G21" s="216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</row>
    <row r="22" spans="2:21" ht="25.5" thickBot="1" x14ac:dyDescent="0.55000000000000004">
      <c r="C22" s="214"/>
      <c r="D22" s="213" t="s">
        <v>188</v>
      </c>
      <c r="E22" s="188"/>
      <c r="F22" s="188"/>
      <c r="G22" s="212">
        <v>2040</v>
      </c>
      <c r="H22" s="212">
        <v>2041</v>
      </c>
      <c r="I22" s="212">
        <v>2042</v>
      </c>
      <c r="J22" s="212">
        <v>2043</v>
      </c>
      <c r="K22" s="212">
        <v>2044</v>
      </c>
      <c r="L22" s="212">
        <v>2045</v>
      </c>
      <c r="M22" s="212">
        <v>2046</v>
      </c>
      <c r="N22" s="212">
        <v>2047</v>
      </c>
      <c r="O22" s="212">
        <v>2048</v>
      </c>
      <c r="P22" s="212">
        <v>2049</v>
      </c>
      <c r="Q22" s="212">
        <v>2050</v>
      </c>
      <c r="R22" s="212">
        <v>2051</v>
      </c>
      <c r="S22" s="212">
        <v>2052</v>
      </c>
      <c r="T22" s="212">
        <v>2053</v>
      </c>
      <c r="U22" s="212">
        <v>2054</v>
      </c>
    </row>
    <row r="23" spans="2:21" ht="25" x14ac:dyDescent="0.5">
      <c r="C23" s="211" t="s">
        <v>194</v>
      </c>
      <c r="D23" s="210"/>
      <c r="E23" s="209"/>
      <c r="F23" s="208"/>
      <c r="G23" s="207">
        <v>189736.92328618118</v>
      </c>
      <c r="H23" s="207">
        <v>211031.92328618118</v>
      </c>
      <c r="I23" s="207">
        <v>233152.92328618118</v>
      </c>
      <c r="J23" s="207">
        <v>256115.92328618118</v>
      </c>
      <c r="K23" s="207">
        <v>272304.23274213553</v>
      </c>
      <c r="L23" s="207">
        <v>296850.23274213553</v>
      </c>
      <c r="M23" s="207">
        <v>322287.23274213553</v>
      </c>
      <c r="N23" s="207">
        <v>348633.23274213553</v>
      </c>
      <c r="O23" s="207">
        <v>375906.23274213553</v>
      </c>
      <c r="P23" s="207">
        <v>395696.02155488537</v>
      </c>
      <c r="Q23" s="207">
        <v>424710.02155488537</v>
      </c>
      <c r="R23" s="207">
        <v>454704.02155488537</v>
      </c>
      <c r="S23" s="207">
        <v>246733.91482513078</v>
      </c>
      <c r="T23" s="207">
        <v>273968.91482513078</v>
      </c>
      <c r="U23" s="206">
        <v>223051.79231928434</v>
      </c>
    </row>
    <row r="24" spans="2:21" ht="25" x14ac:dyDescent="0.5">
      <c r="C24" s="205" t="s">
        <v>193</v>
      </c>
      <c r="D24" s="204"/>
      <c r="E24" s="204"/>
      <c r="F24" s="203"/>
      <c r="G24" s="202">
        <v>17500</v>
      </c>
      <c r="H24" s="202">
        <v>17900</v>
      </c>
      <c r="I24" s="202">
        <v>18300</v>
      </c>
      <c r="J24" s="202">
        <v>18700</v>
      </c>
      <c r="K24" s="202">
        <v>19100</v>
      </c>
      <c r="L24" s="202">
        <v>19500</v>
      </c>
      <c r="M24" s="202">
        <v>19900</v>
      </c>
      <c r="N24" s="202">
        <v>20300</v>
      </c>
      <c r="O24" s="202">
        <v>20700</v>
      </c>
      <c r="P24" s="202">
        <v>21100</v>
      </c>
      <c r="Q24" s="202">
        <v>21500</v>
      </c>
      <c r="R24" s="202">
        <v>21900</v>
      </c>
      <c r="S24" s="202">
        <v>22300</v>
      </c>
      <c r="T24" s="202">
        <v>22700</v>
      </c>
      <c r="U24" s="201">
        <v>23200</v>
      </c>
    </row>
    <row r="25" spans="2:21" ht="25" x14ac:dyDescent="0.5">
      <c r="C25" s="200" t="s">
        <v>192</v>
      </c>
      <c r="D25" s="187"/>
      <c r="E25" s="199">
        <v>0.02</v>
      </c>
      <c r="F25" s="198"/>
      <c r="G25" s="197">
        <v>3795</v>
      </c>
      <c r="H25" s="197">
        <v>4221</v>
      </c>
      <c r="I25" s="197">
        <v>4663</v>
      </c>
      <c r="J25" s="197">
        <v>5122</v>
      </c>
      <c r="K25" s="197">
        <v>5446</v>
      </c>
      <c r="L25" s="197">
        <v>5937</v>
      </c>
      <c r="M25" s="197">
        <v>6446</v>
      </c>
      <c r="N25" s="197">
        <v>6973</v>
      </c>
      <c r="O25" s="197">
        <v>7518</v>
      </c>
      <c r="P25" s="197">
        <v>7914</v>
      </c>
      <c r="Q25" s="197">
        <v>8494</v>
      </c>
      <c r="R25" s="197">
        <v>9094</v>
      </c>
      <c r="S25" s="197">
        <v>4935</v>
      </c>
      <c r="T25" s="197">
        <v>5479</v>
      </c>
      <c r="U25" s="196">
        <v>4461</v>
      </c>
    </row>
    <row r="26" spans="2:21" ht="25.5" thickBot="1" x14ac:dyDescent="0.55000000000000004">
      <c r="B26" s="195"/>
      <c r="C26" s="194" t="s">
        <v>191</v>
      </c>
      <c r="D26" s="193"/>
      <c r="E26" s="192"/>
      <c r="F26" s="191"/>
      <c r="G26" s="190">
        <v>0</v>
      </c>
      <c r="H26" s="190">
        <v>0</v>
      </c>
      <c r="I26" s="190">
        <v>0</v>
      </c>
      <c r="J26" s="190">
        <v>-7633.6905440456621</v>
      </c>
      <c r="K26" s="190">
        <v>0</v>
      </c>
      <c r="L26" s="190">
        <v>0</v>
      </c>
      <c r="M26" s="190">
        <v>0</v>
      </c>
      <c r="N26" s="190">
        <v>0</v>
      </c>
      <c r="O26" s="190">
        <v>-8428.2111872501791</v>
      </c>
      <c r="P26" s="190">
        <v>0</v>
      </c>
      <c r="Q26" s="190">
        <v>0</v>
      </c>
      <c r="R26" s="190">
        <v>-238964.1067297546</v>
      </c>
      <c r="S26" s="190">
        <v>0</v>
      </c>
      <c r="T26" s="190">
        <v>-79096.122505846433</v>
      </c>
      <c r="U26" s="189">
        <v>-211476.46494406651</v>
      </c>
    </row>
    <row r="27" spans="2:21" ht="25" x14ac:dyDescent="0.5">
      <c r="C27" s="188" t="s">
        <v>190</v>
      </c>
      <c r="D27" s="187"/>
      <c r="E27" s="186"/>
      <c r="F27" s="185"/>
      <c r="G27" s="184">
        <v>211031.92328618118</v>
      </c>
      <c r="H27" s="184">
        <v>233152.92328618118</v>
      </c>
      <c r="I27" s="184">
        <v>256115.92328618118</v>
      </c>
      <c r="J27" s="184">
        <v>272304.23274213553</v>
      </c>
      <c r="K27" s="184">
        <v>296850.23274213553</v>
      </c>
      <c r="L27" s="184">
        <v>322287.23274213553</v>
      </c>
      <c r="M27" s="184">
        <v>348633.23274213553</v>
      </c>
      <c r="N27" s="184">
        <v>375906.23274213553</v>
      </c>
      <c r="O27" s="184">
        <v>395696.02155488537</v>
      </c>
      <c r="P27" s="184">
        <v>424710.02155488537</v>
      </c>
      <c r="Q27" s="184">
        <v>454704.02155488537</v>
      </c>
      <c r="R27" s="184">
        <v>246733.91482513078</v>
      </c>
      <c r="S27" s="184">
        <v>273968.91482513078</v>
      </c>
      <c r="T27" s="184">
        <v>223051.79231928434</v>
      </c>
      <c r="U27" s="184">
        <v>39236.327375217836</v>
      </c>
    </row>
    <row r="28" spans="2:21" ht="22.5" x14ac:dyDescent="0.45">
      <c r="C28" s="183"/>
      <c r="D28" s="182"/>
      <c r="E28" s="181"/>
      <c r="F28" s="180"/>
      <c r="G28" s="178" t="s">
        <v>188</v>
      </c>
      <c r="H28" s="178" t="s">
        <v>188</v>
      </c>
      <c r="I28" s="178" t="s">
        <v>188</v>
      </c>
      <c r="J28" s="178" t="s">
        <v>188</v>
      </c>
      <c r="K28" s="178" t="s">
        <v>188</v>
      </c>
      <c r="L28" s="178" t="s">
        <v>188</v>
      </c>
      <c r="M28" s="178" t="s">
        <v>188</v>
      </c>
      <c r="N28" s="178" t="s">
        <v>188</v>
      </c>
      <c r="O28" s="178" t="s">
        <v>188</v>
      </c>
      <c r="P28" s="178" t="s">
        <v>188</v>
      </c>
      <c r="Q28" s="178" t="s">
        <v>188</v>
      </c>
      <c r="R28" s="178" t="s">
        <v>188</v>
      </c>
      <c r="S28" s="178" t="s">
        <v>188</v>
      </c>
      <c r="T28" s="178" t="s">
        <v>188</v>
      </c>
      <c r="U28" s="178" t="s">
        <v>189</v>
      </c>
    </row>
    <row r="29" spans="2:21" ht="22.5" x14ac:dyDescent="0.45">
      <c r="E29" s="179"/>
      <c r="F29" s="173"/>
      <c r="G29" s="178" t="s">
        <v>188</v>
      </c>
      <c r="H29" s="178" t="s">
        <v>188</v>
      </c>
      <c r="I29" s="178" t="s">
        <v>188</v>
      </c>
      <c r="J29" s="178" t="s">
        <v>188</v>
      </c>
      <c r="K29" s="178" t="s">
        <v>188</v>
      </c>
      <c r="L29" s="178" t="s">
        <v>188</v>
      </c>
      <c r="M29" s="178" t="s">
        <v>188</v>
      </c>
      <c r="N29" s="178" t="s">
        <v>188</v>
      </c>
      <c r="O29" s="178" t="s">
        <v>188</v>
      </c>
      <c r="P29" s="178" t="s">
        <v>188</v>
      </c>
      <c r="Q29" s="178" t="s">
        <v>188</v>
      </c>
      <c r="R29" s="178" t="s">
        <v>188</v>
      </c>
      <c r="S29" s="178" t="s">
        <v>188</v>
      </c>
      <c r="T29" s="178" t="s">
        <v>188</v>
      </c>
      <c r="U29" s="178" t="s">
        <v>187</v>
      </c>
    </row>
    <row r="30" spans="2:21" ht="27" x14ac:dyDescent="0.5">
      <c r="C30" s="177" t="s">
        <v>186</v>
      </c>
      <c r="D30" s="176"/>
      <c r="E30" s="170"/>
      <c r="F30" s="169"/>
      <c r="G30" s="169"/>
      <c r="H30" s="169"/>
      <c r="I30" s="169"/>
      <c r="J30" s="175"/>
      <c r="K30" s="175"/>
      <c r="L30" s="169"/>
      <c r="M30" s="174"/>
      <c r="O30" s="173"/>
      <c r="P30" s="173"/>
      <c r="Q30" s="173"/>
      <c r="R30" s="173"/>
      <c r="S30" s="173"/>
      <c r="T30" s="173"/>
      <c r="U30" s="173"/>
    </row>
    <row r="31" spans="2:21" ht="22.5" x14ac:dyDescent="0.45">
      <c r="C31" s="167" t="s">
        <v>185</v>
      </c>
      <c r="D31" s="166"/>
      <c r="E31" s="170"/>
      <c r="F31" s="169"/>
      <c r="G31" s="169"/>
      <c r="H31" s="169"/>
      <c r="I31" s="169"/>
      <c r="J31" s="175"/>
      <c r="K31" s="175"/>
      <c r="L31" s="169"/>
      <c r="M31" s="174"/>
      <c r="O31" s="173"/>
      <c r="P31" s="172"/>
      <c r="Q31" s="172"/>
      <c r="R31" s="172"/>
      <c r="S31" s="172"/>
      <c r="T31" s="172"/>
      <c r="U31" s="172"/>
    </row>
    <row r="32" spans="2:21" ht="22.5" x14ac:dyDescent="0.45">
      <c r="C32" s="171" t="s">
        <v>184</v>
      </c>
      <c r="D32" s="166"/>
      <c r="E32" s="170"/>
      <c r="F32" s="169"/>
      <c r="G32" s="165"/>
      <c r="H32" s="168"/>
      <c r="I32" s="165"/>
      <c r="J32" s="165"/>
      <c r="K32" s="165"/>
      <c r="L32" s="165"/>
    </row>
    <row r="33" spans="3:12" ht="22.5" x14ac:dyDescent="0.45">
      <c r="C33" s="167" t="s">
        <v>183</v>
      </c>
      <c r="D33" s="166"/>
      <c r="E33" s="165"/>
      <c r="F33" s="165"/>
      <c r="G33" s="165"/>
      <c r="H33" s="165"/>
      <c r="I33" s="165"/>
      <c r="J33" s="165"/>
      <c r="K33" s="165"/>
      <c r="L33" s="165"/>
    </row>
    <row r="34" spans="3:12" ht="22.5" x14ac:dyDescent="0.45">
      <c r="C34" s="167" t="s">
        <v>182</v>
      </c>
      <c r="D34" s="166"/>
      <c r="E34" s="165"/>
      <c r="F34" s="165"/>
      <c r="G34" s="165"/>
      <c r="H34" s="165"/>
      <c r="I34" s="165"/>
      <c r="J34" s="165"/>
      <c r="K34" s="165"/>
      <c r="L34" s="165"/>
    </row>
    <row r="35" spans="3:12" ht="21" x14ac:dyDescent="0.5">
      <c r="G35" s="164"/>
      <c r="H35" s="163"/>
    </row>
  </sheetData>
  <mergeCells count="5">
    <mergeCell ref="B2:T2"/>
    <mergeCell ref="B3:U3"/>
    <mergeCell ref="B4:U4"/>
    <mergeCell ref="B6:U6"/>
    <mergeCell ref="B7:U7"/>
  </mergeCells>
  <conditionalFormatting sqref="B6:U7">
    <cfRule type="containsText" dxfId="19" priority="1" operator="containsText" text="Info Tab">
      <formula>NOT(ISERROR(SEARCH("Info Tab",B6)))</formula>
    </cfRule>
  </conditionalFormatting>
  <conditionalFormatting sqref="F16:U16 G28:U28">
    <cfRule type="expression" dxfId="18" priority="3">
      <formula>F16="Threshold/"</formula>
    </cfRule>
  </conditionalFormatting>
  <conditionalFormatting sqref="F17:U17 G29:U29">
    <cfRule type="expression" dxfId="17" priority="2">
      <formula>F17="Risk Year"</formula>
    </cfRule>
  </conditionalFormatting>
  <conditionalFormatting sqref="G10:H10">
    <cfRule type="expression" dxfId="16" priority="7">
      <formula>#REF!=2</formula>
    </cfRule>
  </conditionalFormatting>
  <conditionalFormatting sqref="G10:I10">
    <cfRule type="expression" dxfId="15" priority="6">
      <formula>#REF!=3</formula>
    </cfRule>
  </conditionalFormatting>
  <conditionalFormatting sqref="G10:J10">
    <cfRule type="expression" dxfId="14" priority="5">
      <formula>#REF!=4</formula>
    </cfRule>
  </conditionalFormatting>
  <conditionalFormatting sqref="G10:K10">
    <cfRule type="expression" dxfId="13" priority="4">
      <formula>#REF!=5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4CE2-BF4C-4159-8B00-839AB4FE235C}">
  <sheetPr>
    <tabColor rgb="FFFF0000"/>
  </sheetPr>
  <dimension ref="A1:AN42"/>
  <sheetViews>
    <sheetView topLeftCell="D32" workbookViewId="0">
      <selection activeCell="AO35" sqref="AO35"/>
    </sheetView>
  </sheetViews>
  <sheetFormatPr defaultColWidth="10.83203125" defaultRowHeight="18.5" x14ac:dyDescent="0.45"/>
  <cols>
    <col min="1" max="1" width="6.5" style="242" bestFit="1" customWidth="1"/>
    <col min="2" max="2" width="12.83203125" style="242" bestFit="1" customWidth="1"/>
    <col min="3" max="3" width="51.1640625" style="242" bestFit="1" customWidth="1"/>
    <col min="4" max="4" width="14" style="243" bestFit="1" customWidth="1"/>
    <col min="5" max="5" width="10.1640625" style="244" bestFit="1" customWidth="1"/>
    <col min="6" max="6" width="10.83203125" style="244" bestFit="1"/>
    <col min="7" max="7" width="15.83203125" style="244" bestFit="1" customWidth="1"/>
    <col min="8" max="8" width="14.33203125" style="242" bestFit="1" customWidth="1"/>
    <col min="9" max="9" width="13.33203125" style="244" customWidth="1"/>
    <col min="10" max="10" width="11.1640625" style="244" customWidth="1"/>
    <col min="11" max="11" width="9.83203125" style="244" bestFit="1" customWidth="1"/>
    <col min="12" max="12" width="13.83203125" style="244" bestFit="1" customWidth="1"/>
    <col min="13" max="13" width="9.33203125" style="244" bestFit="1" customWidth="1"/>
    <col min="14" max="14" width="9.33203125" style="242" bestFit="1" customWidth="1"/>
    <col min="15" max="15" width="10.6640625" style="242" bestFit="1" customWidth="1"/>
    <col min="16" max="18" width="9.33203125" style="242" bestFit="1" customWidth="1"/>
    <col min="19" max="19" width="10.6640625" style="242" bestFit="1" customWidth="1"/>
    <col min="20" max="38" width="10.6640625" style="242" customWidth="1"/>
    <col min="39" max="39" width="10.6640625" style="244" customWidth="1"/>
    <col min="40" max="40" width="12.58203125" style="244" customWidth="1"/>
    <col min="41" max="42" width="10.6640625" style="242" customWidth="1"/>
    <col min="43" max="43" width="7.5" style="242" bestFit="1" customWidth="1"/>
    <col min="44" max="44" width="5.83203125" style="242" bestFit="1" customWidth="1"/>
    <col min="45" max="45" width="7.5" style="242" bestFit="1" customWidth="1"/>
    <col min="46" max="16384" width="10.83203125" style="242"/>
  </cols>
  <sheetData>
    <row r="1" spans="1:40" ht="21.5" thickBot="1" x14ac:dyDescent="0.55000000000000004">
      <c r="H1" s="245"/>
      <c r="I1" s="246" t="s">
        <v>268</v>
      </c>
    </row>
    <row r="2" spans="1:40" ht="19" thickBot="1" x14ac:dyDescent="0.5">
      <c r="H2" s="244" t="s">
        <v>203</v>
      </c>
      <c r="I2" s="247">
        <v>0.02</v>
      </c>
    </row>
    <row r="4" spans="1:40" x14ac:dyDescent="0.45">
      <c r="A4" s="248"/>
      <c r="B4" s="249"/>
      <c r="C4" s="250"/>
      <c r="D4" s="250"/>
      <c r="E4" s="250"/>
      <c r="F4" s="250"/>
      <c r="G4" s="251"/>
      <c r="H4" s="252" t="s">
        <v>204</v>
      </c>
      <c r="I4" s="252" t="s">
        <v>204</v>
      </c>
      <c r="J4" s="253" t="s">
        <v>205</v>
      </c>
      <c r="K4" s="252" t="s">
        <v>204</v>
      </c>
      <c r="L4" s="252" t="s">
        <v>204</v>
      </c>
      <c r="M4" s="253" t="s">
        <v>205</v>
      </c>
      <c r="N4" s="253" t="s">
        <v>205</v>
      </c>
      <c r="O4" s="253" t="s">
        <v>205</v>
      </c>
      <c r="P4" s="253" t="s">
        <v>205</v>
      </c>
      <c r="Q4" s="253" t="s">
        <v>205</v>
      </c>
      <c r="R4" s="253" t="s">
        <v>205</v>
      </c>
      <c r="S4" s="253" t="s">
        <v>205</v>
      </c>
      <c r="T4" s="253" t="s">
        <v>205</v>
      </c>
      <c r="U4" s="253" t="s">
        <v>205</v>
      </c>
      <c r="V4" s="253" t="s">
        <v>205</v>
      </c>
    </row>
    <row r="5" spans="1:40" x14ac:dyDescent="0.45">
      <c r="A5" s="254"/>
      <c r="B5" s="255"/>
      <c r="C5" s="256"/>
      <c r="D5" s="256"/>
      <c r="E5" s="252" t="s">
        <v>204</v>
      </c>
      <c r="F5" s="252" t="s">
        <v>204</v>
      </c>
      <c r="G5" s="252" t="s">
        <v>204</v>
      </c>
      <c r="H5" s="257" t="s">
        <v>206</v>
      </c>
      <c r="I5" s="256">
        <v>2024</v>
      </c>
      <c r="J5" s="253">
        <v>2024</v>
      </c>
      <c r="K5" s="258" t="s">
        <v>207</v>
      </c>
      <c r="L5" s="258" t="s">
        <v>175</v>
      </c>
      <c r="M5" s="253" t="s">
        <v>208</v>
      </c>
      <c r="N5" s="253" t="s">
        <v>208</v>
      </c>
      <c r="O5" s="253" t="s">
        <v>209</v>
      </c>
      <c r="P5" s="253" t="s">
        <v>209</v>
      </c>
      <c r="Q5" s="253" t="s">
        <v>210</v>
      </c>
      <c r="R5" s="253" t="s">
        <v>210</v>
      </c>
      <c r="S5" s="253" t="s">
        <v>211</v>
      </c>
      <c r="T5" s="253" t="s">
        <v>211</v>
      </c>
      <c r="U5" s="253" t="s">
        <v>212</v>
      </c>
      <c r="V5" s="253" t="s">
        <v>212</v>
      </c>
    </row>
    <row r="6" spans="1:40" x14ac:dyDescent="0.45">
      <c r="A6" s="254" t="s">
        <v>213</v>
      </c>
      <c r="B6" s="255"/>
      <c r="C6" s="259"/>
      <c r="D6" s="256" t="s">
        <v>170</v>
      </c>
      <c r="E6" s="256" t="s">
        <v>169</v>
      </c>
      <c r="F6" s="256" t="s">
        <v>214</v>
      </c>
      <c r="G6" s="256" t="s">
        <v>215</v>
      </c>
      <c r="H6" s="257" t="s">
        <v>216</v>
      </c>
      <c r="I6" s="256" t="s">
        <v>217</v>
      </c>
      <c r="J6" s="253" t="s">
        <v>218</v>
      </c>
      <c r="K6" s="258" t="s">
        <v>219</v>
      </c>
      <c r="L6" s="258" t="s">
        <v>220</v>
      </c>
      <c r="M6" s="253" t="s">
        <v>221</v>
      </c>
      <c r="N6" s="253" t="s">
        <v>222</v>
      </c>
      <c r="O6" s="253" t="s">
        <v>221</v>
      </c>
      <c r="P6" s="253" t="s">
        <v>222</v>
      </c>
      <c r="Q6" s="253" t="s">
        <v>221</v>
      </c>
      <c r="R6" s="253" t="s">
        <v>222</v>
      </c>
      <c r="S6" s="253" t="s">
        <v>221</v>
      </c>
      <c r="T6" s="253" t="s">
        <v>222</v>
      </c>
      <c r="U6" s="253" t="s">
        <v>221</v>
      </c>
      <c r="V6" s="253" t="s">
        <v>222</v>
      </c>
    </row>
    <row r="7" spans="1:40" s="266" customFormat="1" ht="19" thickBot="1" x14ac:dyDescent="0.5">
      <c r="A7" s="260" t="s">
        <v>160</v>
      </c>
      <c r="B7" s="261" t="s">
        <v>223</v>
      </c>
      <c r="C7" s="262" t="s">
        <v>159</v>
      </c>
      <c r="D7" s="262" t="s">
        <v>158</v>
      </c>
      <c r="E7" s="262" t="s">
        <v>157</v>
      </c>
      <c r="F7" s="262" t="s">
        <v>157</v>
      </c>
      <c r="G7" s="262" t="s">
        <v>264</v>
      </c>
      <c r="H7" s="263" t="s">
        <v>161</v>
      </c>
      <c r="I7" s="262" t="s">
        <v>163</v>
      </c>
      <c r="J7" s="264" t="s">
        <v>214</v>
      </c>
      <c r="K7" s="265" t="s">
        <v>164</v>
      </c>
      <c r="L7" s="265" t="s">
        <v>224</v>
      </c>
      <c r="M7" s="264" t="s">
        <v>222</v>
      </c>
      <c r="N7" s="264" t="s">
        <v>152</v>
      </c>
      <c r="O7" s="264" t="s">
        <v>222</v>
      </c>
      <c r="P7" s="264" t="s">
        <v>152</v>
      </c>
      <c r="Q7" s="264" t="s">
        <v>222</v>
      </c>
      <c r="R7" s="264" t="s">
        <v>152</v>
      </c>
      <c r="S7" s="264" t="s">
        <v>222</v>
      </c>
      <c r="T7" s="264" t="s">
        <v>152</v>
      </c>
      <c r="U7" s="264" t="s">
        <v>222</v>
      </c>
      <c r="V7" s="264" t="s">
        <v>152</v>
      </c>
      <c r="AM7" s="267"/>
      <c r="AN7" s="267"/>
    </row>
    <row r="8" spans="1:40" s="339" customFormat="1" x14ac:dyDescent="0.45">
      <c r="A8" s="349">
        <v>1.1399999999999999</v>
      </c>
      <c r="B8" s="341" t="s">
        <v>225</v>
      </c>
      <c r="C8" s="350" t="s">
        <v>259</v>
      </c>
      <c r="D8" s="342" t="s">
        <v>226</v>
      </c>
      <c r="E8" s="351">
        <v>3</v>
      </c>
      <c r="F8" s="351">
        <v>3</v>
      </c>
      <c r="G8" s="352" t="s">
        <v>118</v>
      </c>
      <c r="H8" s="338">
        <v>1998</v>
      </c>
      <c r="I8" s="353">
        <v>500</v>
      </c>
      <c r="J8" s="346">
        <f>F8*I8</f>
        <v>1500</v>
      </c>
      <c r="K8" s="354">
        <v>30</v>
      </c>
      <c r="L8" s="354">
        <v>10</v>
      </c>
      <c r="M8" s="348">
        <f t="shared" ref="M8:M16" si="0">2024+L8</f>
        <v>2034</v>
      </c>
      <c r="N8" s="346">
        <f t="shared" ref="N8:N16" si="1">FVSCHEDULE($J8,($I$2))</f>
        <v>1530</v>
      </c>
      <c r="O8" s="348">
        <f t="shared" ref="O8:O15" si="2">M8+K8</f>
        <v>2064</v>
      </c>
      <c r="P8" s="346">
        <f t="shared" ref="P8:P16" si="3">FVSCHEDULE($N8,($I$2))</f>
        <v>1560.6000000000001</v>
      </c>
      <c r="Q8" s="348">
        <f t="shared" ref="Q8:Q15" si="4">O8+K8</f>
        <v>2094</v>
      </c>
      <c r="R8" s="346">
        <f t="shared" ref="R8:R16" si="5">FVSCHEDULE($P8,($I$2))</f>
        <v>1591.8120000000001</v>
      </c>
      <c r="S8" s="348">
        <f t="shared" ref="S8:S15" si="6">Q8+K8</f>
        <v>2124</v>
      </c>
      <c r="T8" s="346">
        <f t="shared" ref="T8:T16" si="7">FVSCHEDULE($R8,($I$2))</f>
        <v>1623.6482400000002</v>
      </c>
      <c r="U8" s="348">
        <f t="shared" ref="U8:U16" si="8">S8+K8</f>
        <v>2154</v>
      </c>
      <c r="V8" s="346">
        <f t="shared" ref="V8:V16" si="9">FVSCHEDULE($T8,($I$2))</f>
        <v>1656.1212048000002</v>
      </c>
      <c r="AM8" s="338"/>
      <c r="AN8" s="338"/>
    </row>
    <row r="9" spans="1:40" x14ac:dyDescent="0.45">
      <c r="A9" s="273">
        <v>1.17</v>
      </c>
      <c r="B9" s="268" t="s">
        <v>227</v>
      </c>
      <c r="C9" s="274" t="s">
        <v>263</v>
      </c>
      <c r="D9" s="270" t="s">
        <v>226</v>
      </c>
      <c r="E9" s="275">
        <v>440</v>
      </c>
      <c r="F9" s="275">
        <v>220</v>
      </c>
      <c r="G9" s="250" t="s">
        <v>265</v>
      </c>
      <c r="H9" s="244">
        <v>2018</v>
      </c>
      <c r="I9" s="276">
        <v>10</v>
      </c>
      <c r="J9" s="271">
        <f t="shared" ref="J9:J16" si="10">F9*I9</f>
        <v>2200</v>
      </c>
      <c r="K9" s="277">
        <v>30</v>
      </c>
      <c r="L9" s="277">
        <v>22</v>
      </c>
      <c r="M9" s="272">
        <f t="shared" si="0"/>
        <v>2046</v>
      </c>
      <c r="N9" s="271">
        <f t="shared" si="1"/>
        <v>2244</v>
      </c>
      <c r="O9" s="272">
        <f t="shared" si="2"/>
        <v>2076</v>
      </c>
      <c r="P9" s="271">
        <f t="shared" si="3"/>
        <v>2288.88</v>
      </c>
      <c r="Q9" s="272">
        <f t="shared" si="4"/>
        <v>2106</v>
      </c>
      <c r="R9" s="271">
        <f t="shared" si="5"/>
        <v>2334.6576</v>
      </c>
      <c r="S9" s="272">
        <f t="shared" si="6"/>
        <v>2136</v>
      </c>
      <c r="T9" s="271">
        <f t="shared" si="7"/>
        <v>2381.3507519999998</v>
      </c>
      <c r="U9" s="272">
        <f t="shared" si="8"/>
        <v>2166</v>
      </c>
      <c r="V9" s="271">
        <f t="shared" si="9"/>
        <v>2428.9777670399999</v>
      </c>
    </row>
    <row r="10" spans="1:40" x14ac:dyDescent="0.45">
      <c r="A10" s="273">
        <v>1.18</v>
      </c>
      <c r="B10" s="268" t="s">
        <v>228</v>
      </c>
      <c r="C10" s="274" t="s">
        <v>229</v>
      </c>
      <c r="D10" s="270" t="s">
        <v>226</v>
      </c>
      <c r="E10" s="275">
        <v>48</v>
      </c>
      <c r="F10" s="275">
        <v>48</v>
      </c>
      <c r="G10" s="250" t="s">
        <v>118</v>
      </c>
      <c r="H10" s="244">
        <v>2020</v>
      </c>
      <c r="I10" s="276">
        <v>100</v>
      </c>
      <c r="J10" s="271">
        <f t="shared" si="10"/>
        <v>4800</v>
      </c>
      <c r="K10" s="277">
        <v>20</v>
      </c>
      <c r="L10" s="277">
        <v>9</v>
      </c>
      <c r="M10" s="272">
        <f t="shared" si="0"/>
        <v>2033</v>
      </c>
      <c r="N10" s="271">
        <f t="shared" si="1"/>
        <v>4896</v>
      </c>
      <c r="O10" s="272">
        <f t="shared" si="2"/>
        <v>2053</v>
      </c>
      <c r="P10" s="271">
        <f t="shared" si="3"/>
        <v>4993.92</v>
      </c>
      <c r="Q10" s="272">
        <f t="shared" si="4"/>
        <v>2073</v>
      </c>
      <c r="R10" s="271">
        <f t="shared" si="5"/>
        <v>5093.7984000000006</v>
      </c>
      <c r="S10" s="272">
        <f t="shared" si="6"/>
        <v>2093</v>
      </c>
      <c r="T10" s="271">
        <f t="shared" si="7"/>
        <v>5195.6743680000009</v>
      </c>
      <c r="U10" s="272">
        <f t="shared" si="8"/>
        <v>2113</v>
      </c>
      <c r="V10" s="271">
        <f t="shared" si="9"/>
        <v>5299.5878553600014</v>
      </c>
    </row>
    <row r="11" spans="1:40" x14ac:dyDescent="0.45">
      <c r="A11" s="273">
        <v>1.2</v>
      </c>
      <c r="B11" s="268" t="s">
        <v>230</v>
      </c>
      <c r="C11" s="274" t="s">
        <v>231</v>
      </c>
      <c r="D11" s="270" t="s">
        <v>226</v>
      </c>
      <c r="E11" s="275">
        <v>22</v>
      </c>
      <c r="F11" s="275">
        <v>22</v>
      </c>
      <c r="G11" s="250" t="s">
        <v>121</v>
      </c>
      <c r="H11" s="244">
        <v>1998</v>
      </c>
      <c r="I11" s="276">
        <v>140</v>
      </c>
      <c r="J11" s="271">
        <f t="shared" si="10"/>
        <v>3080</v>
      </c>
      <c r="K11" s="277">
        <v>40</v>
      </c>
      <c r="L11" s="277">
        <v>6</v>
      </c>
      <c r="M11" s="272">
        <f t="shared" si="0"/>
        <v>2030</v>
      </c>
      <c r="N11" s="271">
        <f t="shared" si="1"/>
        <v>3141.6</v>
      </c>
      <c r="O11" s="272">
        <f t="shared" si="2"/>
        <v>2070</v>
      </c>
      <c r="P11" s="271">
        <f t="shared" si="3"/>
        <v>3204.4319999999998</v>
      </c>
      <c r="Q11" s="272">
        <f t="shared" si="4"/>
        <v>2110</v>
      </c>
      <c r="R11" s="271">
        <f t="shared" si="5"/>
        <v>3268.5206399999997</v>
      </c>
      <c r="S11" s="272">
        <f t="shared" si="6"/>
        <v>2150</v>
      </c>
      <c r="T11" s="271">
        <f t="shared" si="7"/>
        <v>3333.8910527999997</v>
      </c>
      <c r="U11" s="272">
        <f t="shared" si="8"/>
        <v>2190</v>
      </c>
      <c r="V11" s="271">
        <f t="shared" si="9"/>
        <v>3400.5688738559998</v>
      </c>
    </row>
    <row r="12" spans="1:40" s="339" customFormat="1" x14ac:dyDescent="0.45">
      <c r="A12" s="340">
        <v>4.09</v>
      </c>
      <c r="B12" s="341" t="s">
        <v>232</v>
      </c>
      <c r="C12" s="333" t="s">
        <v>260</v>
      </c>
      <c r="D12" s="342" t="s">
        <v>226</v>
      </c>
      <c r="E12" s="343">
        <v>4200</v>
      </c>
      <c r="F12" s="343">
        <v>420</v>
      </c>
      <c r="G12" s="344" t="s">
        <v>266</v>
      </c>
      <c r="H12" s="338">
        <v>1998</v>
      </c>
      <c r="I12" s="345">
        <v>8</v>
      </c>
      <c r="J12" s="346">
        <f t="shared" si="10"/>
        <v>3360</v>
      </c>
      <c r="K12" s="347">
        <v>50</v>
      </c>
      <c r="L12" s="347">
        <v>10</v>
      </c>
      <c r="M12" s="348">
        <f t="shared" si="0"/>
        <v>2034</v>
      </c>
      <c r="N12" s="346">
        <f t="shared" si="1"/>
        <v>3427.2000000000003</v>
      </c>
      <c r="O12" s="348">
        <f t="shared" si="2"/>
        <v>2084</v>
      </c>
      <c r="P12" s="346">
        <f t="shared" si="3"/>
        <v>3495.7440000000001</v>
      </c>
      <c r="Q12" s="348">
        <f t="shared" si="4"/>
        <v>2134</v>
      </c>
      <c r="R12" s="346">
        <f t="shared" si="5"/>
        <v>3565.6588800000004</v>
      </c>
      <c r="S12" s="348">
        <f t="shared" si="6"/>
        <v>2184</v>
      </c>
      <c r="T12" s="346">
        <f t="shared" si="7"/>
        <v>3636.9720576000004</v>
      </c>
      <c r="U12" s="348">
        <f t="shared" si="8"/>
        <v>2234</v>
      </c>
      <c r="V12" s="346">
        <f t="shared" si="9"/>
        <v>3709.7114987520004</v>
      </c>
      <c r="AM12" s="338"/>
      <c r="AN12" s="338"/>
    </row>
    <row r="13" spans="1:40" s="339" customFormat="1" x14ac:dyDescent="0.45">
      <c r="A13" s="340">
        <v>4.28</v>
      </c>
      <c r="B13" s="341" t="s">
        <v>233</v>
      </c>
      <c r="C13" s="333" t="s">
        <v>261</v>
      </c>
      <c r="D13" s="342" t="s">
        <v>226</v>
      </c>
      <c r="E13" s="343">
        <v>3</v>
      </c>
      <c r="F13" s="343">
        <v>3</v>
      </c>
      <c r="G13" s="344" t="s">
        <v>234</v>
      </c>
      <c r="H13" s="338">
        <v>1998</v>
      </c>
      <c r="I13" s="345">
        <v>1000</v>
      </c>
      <c r="J13" s="346">
        <f t="shared" si="10"/>
        <v>3000</v>
      </c>
      <c r="K13" s="347">
        <v>40</v>
      </c>
      <c r="L13" s="347">
        <v>13</v>
      </c>
      <c r="M13" s="348">
        <f t="shared" si="0"/>
        <v>2037</v>
      </c>
      <c r="N13" s="346">
        <f t="shared" si="1"/>
        <v>3060</v>
      </c>
      <c r="O13" s="348">
        <f t="shared" si="2"/>
        <v>2077</v>
      </c>
      <c r="P13" s="346">
        <f t="shared" si="3"/>
        <v>3121.2000000000003</v>
      </c>
      <c r="Q13" s="348">
        <f t="shared" si="4"/>
        <v>2117</v>
      </c>
      <c r="R13" s="346">
        <f t="shared" si="5"/>
        <v>3183.6240000000003</v>
      </c>
      <c r="S13" s="348">
        <f t="shared" si="6"/>
        <v>2157</v>
      </c>
      <c r="T13" s="346">
        <f t="shared" si="7"/>
        <v>3247.2964800000004</v>
      </c>
      <c r="U13" s="348">
        <f t="shared" si="8"/>
        <v>2197</v>
      </c>
      <c r="V13" s="346">
        <f t="shared" si="9"/>
        <v>3312.2424096000004</v>
      </c>
      <c r="AM13" s="338"/>
      <c r="AN13" s="338"/>
    </row>
    <row r="14" spans="1:40" x14ac:dyDescent="0.45">
      <c r="A14" s="278">
        <v>39020</v>
      </c>
      <c r="B14" s="278" t="s">
        <v>235</v>
      </c>
      <c r="C14" s="279" t="s">
        <v>258</v>
      </c>
      <c r="D14" s="270" t="s">
        <v>226</v>
      </c>
      <c r="E14" s="280">
        <v>14500</v>
      </c>
      <c r="F14" s="280">
        <v>14500</v>
      </c>
      <c r="G14" s="250" t="s">
        <v>266</v>
      </c>
      <c r="H14" s="244">
        <v>2020</v>
      </c>
      <c r="I14" s="281">
        <v>0.35</v>
      </c>
      <c r="J14" s="271">
        <f t="shared" si="10"/>
        <v>5075</v>
      </c>
      <c r="K14" s="243">
        <v>6</v>
      </c>
      <c r="L14" s="243">
        <v>1</v>
      </c>
      <c r="M14" s="272">
        <f t="shared" si="0"/>
        <v>2025</v>
      </c>
      <c r="N14" s="271">
        <f t="shared" si="1"/>
        <v>5176.5</v>
      </c>
      <c r="O14" s="272">
        <f t="shared" si="2"/>
        <v>2031</v>
      </c>
      <c r="P14" s="271">
        <f t="shared" si="3"/>
        <v>5280.03</v>
      </c>
      <c r="Q14" s="272">
        <f t="shared" si="4"/>
        <v>2037</v>
      </c>
      <c r="R14" s="271">
        <f t="shared" si="5"/>
        <v>5385.6305999999995</v>
      </c>
      <c r="S14" s="272">
        <f t="shared" si="6"/>
        <v>2043</v>
      </c>
      <c r="T14" s="271">
        <f t="shared" si="7"/>
        <v>5493.3432119999998</v>
      </c>
      <c r="U14" s="272">
        <f t="shared" si="8"/>
        <v>2049</v>
      </c>
      <c r="V14" s="271">
        <f t="shared" si="9"/>
        <v>5603.2100762399996</v>
      </c>
    </row>
    <row r="15" spans="1:40" x14ac:dyDescent="0.45">
      <c r="A15" s="278">
        <v>39035</v>
      </c>
      <c r="B15" s="278" t="s">
        <v>236</v>
      </c>
      <c r="C15" s="279" t="s">
        <v>262</v>
      </c>
      <c r="D15" s="270" t="s">
        <v>226</v>
      </c>
      <c r="E15" s="280">
        <v>6400</v>
      </c>
      <c r="F15" s="280">
        <v>6400</v>
      </c>
      <c r="G15" s="250" t="s">
        <v>266</v>
      </c>
      <c r="H15" s="244">
        <v>2019</v>
      </c>
      <c r="I15" s="282">
        <v>0.75</v>
      </c>
      <c r="J15" s="271">
        <f t="shared" si="10"/>
        <v>4800</v>
      </c>
      <c r="K15" s="243">
        <v>5</v>
      </c>
      <c r="L15" s="243">
        <v>6</v>
      </c>
      <c r="M15" s="272">
        <f t="shared" si="0"/>
        <v>2030</v>
      </c>
      <c r="N15" s="271">
        <f t="shared" si="1"/>
        <v>4896</v>
      </c>
      <c r="O15" s="272">
        <f t="shared" si="2"/>
        <v>2035</v>
      </c>
      <c r="P15" s="271">
        <f t="shared" si="3"/>
        <v>4993.92</v>
      </c>
      <c r="Q15" s="272">
        <f t="shared" si="4"/>
        <v>2040</v>
      </c>
      <c r="R15" s="271">
        <f t="shared" si="5"/>
        <v>5093.7984000000006</v>
      </c>
      <c r="S15" s="272">
        <f t="shared" si="6"/>
        <v>2045</v>
      </c>
      <c r="T15" s="271">
        <f t="shared" si="7"/>
        <v>5195.6743680000009</v>
      </c>
      <c r="U15" s="272">
        <f t="shared" si="8"/>
        <v>2050</v>
      </c>
      <c r="V15" s="271">
        <f t="shared" si="9"/>
        <v>5299.5878553600014</v>
      </c>
    </row>
    <row r="16" spans="1:40" x14ac:dyDescent="0.45">
      <c r="A16" s="278">
        <v>39065</v>
      </c>
      <c r="B16" s="278" t="s">
        <v>237</v>
      </c>
      <c r="C16" s="279" t="s">
        <v>238</v>
      </c>
      <c r="D16" s="270" t="s">
        <v>226</v>
      </c>
      <c r="E16" s="283">
        <v>800</v>
      </c>
      <c r="F16" s="283">
        <v>4</v>
      </c>
      <c r="G16" s="277" t="s">
        <v>239</v>
      </c>
      <c r="H16" s="244">
        <v>1998</v>
      </c>
      <c r="I16" s="284">
        <v>800</v>
      </c>
      <c r="J16" s="271">
        <f t="shared" si="10"/>
        <v>3200</v>
      </c>
      <c r="K16" s="243">
        <v>20</v>
      </c>
      <c r="L16" s="243">
        <v>5</v>
      </c>
      <c r="M16" s="272">
        <f t="shared" si="0"/>
        <v>2029</v>
      </c>
      <c r="N16" s="271">
        <f t="shared" si="1"/>
        <v>3264</v>
      </c>
      <c r="O16" s="272">
        <f>M16+K16/F16</f>
        <v>2034</v>
      </c>
      <c r="P16" s="271">
        <f t="shared" si="3"/>
        <v>3329.28</v>
      </c>
      <c r="Q16" s="272">
        <f>O16+K16/F16</f>
        <v>2039</v>
      </c>
      <c r="R16" s="271">
        <f t="shared" si="5"/>
        <v>3395.8656000000001</v>
      </c>
      <c r="S16" s="272">
        <f>Q16+K16/F16</f>
        <v>2044</v>
      </c>
      <c r="T16" s="271">
        <f t="shared" si="7"/>
        <v>3463.7829120000001</v>
      </c>
      <c r="U16" s="272">
        <f t="shared" si="8"/>
        <v>2064</v>
      </c>
      <c r="V16" s="271">
        <f t="shared" si="9"/>
        <v>3533.0585702400003</v>
      </c>
    </row>
    <row r="17" spans="3:40" x14ac:dyDescent="0.45">
      <c r="H17" s="277"/>
      <c r="L17" s="242"/>
    </row>
    <row r="18" spans="3:40" x14ac:dyDescent="0.45">
      <c r="H18" s="277"/>
      <c r="L18" s="242"/>
    </row>
    <row r="19" spans="3:40" ht="21" x14ac:dyDescent="0.5">
      <c r="I19" s="246" t="s">
        <v>240</v>
      </c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</row>
    <row r="20" spans="3:40" s="244" customFormat="1" x14ac:dyDescent="0.45">
      <c r="D20" s="243"/>
      <c r="E20" s="243"/>
      <c r="F20" s="243"/>
      <c r="H20" s="285"/>
      <c r="J20" s="244">
        <v>1</v>
      </c>
      <c r="K20" s="244">
        <f>J20+1</f>
        <v>2</v>
      </c>
      <c r="L20" s="244">
        <f t="shared" ref="L20:AM20" si="11">K20+1</f>
        <v>3</v>
      </c>
      <c r="M20" s="244">
        <f t="shared" si="11"/>
        <v>4</v>
      </c>
      <c r="N20" s="244">
        <f t="shared" si="11"/>
        <v>5</v>
      </c>
      <c r="O20" s="244">
        <f>N20+1</f>
        <v>6</v>
      </c>
      <c r="P20" s="244">
        <f t="shared" si="11"/>
        <v>7</v>
      </c>
      <c r="Q20" s="244">
        <f t="shared" si="11"/>
        <v>8</v>
      </c>
      <c r="R20" s="244">
        <f>Q20+1</f>
        <v>9</v>
      </c>
      <c r="S20" s="244">
        <f t="shared" si="11"/>
        <v>10</v>
      </c>
      <c r="T20" s="244">
        <f t="shared" si="11"/>
        <v>11</v>
      </c>
      <c r="U20" s="244">
        <f t="shared" si="11"/>
        <v>12</v>
      </c>
      <c r="V20" s="244">
        <f t="shared" si="11"/>
        <v>13</v>
      </c>
      <c r="W20" s="244">
        <f t="shared" si="11"/>
        <v>14</v>
      </c>
      <c r="X20" s="244">
        <f t="shared" si="11"/>
        <v>15</v>
      </c>
      <c r="Y20" s="244">
        <f t="shared" si="11"/>
        <v>16</v>
      </c>
      <c r="Z20" s="244">
        <f t="shared" si="11"/>
        <v>17</v>
      </c>
      <c r="AA20" s="244">
        <f>Z20+1</f>
        <v>18</v>
      </c>
      <c r="AB20" s="244">
        <f t="shared" si="11"/>
        <v>19</v>
      </c>
      <c r="AC20" s="244">
        <f t="shared" si="11"/>
        <v>20</v>
      </c>
      <c r="AD20" s="244">
        <f t="shared" si="11"/>
        <v>21</v>
      </c>
      <c r="AE20" s="244">
        <f t="shared" si="11"/>
        <v>22</v>
      </c>
      <c r="AF20" s="244">
        <f t="shared" si="11"/>
        <v>23</v>
      </c>
      <c r="AG20" s="244">
        <f t="shared" si="11"/>
        <v>24</v>
      </c>
      <c r="AH20" s="244">
        <f t="shared" si="11"/>
        <v>25</v>
      </c>
      <c r="AI20" s="244">
        <f t="shared" si="11"/>
        <v>26</v>
      </c>
      <c r="AJ20" s="244">
        <f t="shared" si="11"/>
        <v>27</v>
      </c>
      <c r="AK20" s="244">
        <f t="shared" si="11"/>
        <v>28</v>
      </c>
      <c r="AL20" s="244">
        <f t="shared" si="11"/>
        <v>29</v>
      </c>
      <c r="AM20" s="244">
        <f t="shared" si="11"/>
        <v>30</v>
      </c>
    </row>
    <row r="21" spans="3:40" s="244" customFormat="1" x14ac:dyDescent="0.45">
      <c r="D21" s="243" t="s">
        <v>241</v>
      </c>
      <c r="E21" s="243" t="s">
        <v>242</v>
      </c>
      <c r="F21" s="243" t="s">
        <v>243</v>
      </c>
      <c r="G21" s="243" t="s">
        <v>244</v>
      </c>
      <c r="H21" s="243" t="s">
        <v>245</v>
      </c>
      <c r="I21" s="244" t="s">
        <v>246</v>
      </c>
      <c r="J21" s="244">
        <v>1.02</v>
      </c>
      <c r="K21" s="244">
        <v>1.02</v>
      </c>
      <c r="L21" s="244">
        <v>1.02</v>
      </c>
      <c r="M21" s="244">
        <v>1.02</v>
      </c>
      <c r="N21" s="244">
        <v>1.02</v>
      </c>
      <c r="O21" s="244">
        <v>1.02</v>
      </c>
      <c r="P21" s="244">
        <v>1.02</v>
      </c>
      <c r="Q21" s="244">
        <v>1.02</v>
      </c>
      <c r="R21" s="244">
        <v>1.02</v>
      </c>
      <c r="S21" s="244">
        <v>1.02</v>
      </c>
      <c r="T21" s="244">
        <v>1.02</v>
      </c>
      <c r="U21" s="244">
        <v>1.02</v>
      </c>
      <c r="V21" s="244">
        <v>1.02</v>
      </c>
      <c r="W21" s="244">
        <v>1.02</v>
      </c>
      <c r="X21" s="244">
        <v>1.02</v>
      </c>
      <c r="Y21" s="244">
        <v>1.02</v>
      </c>
      <c r="Z21" s="244">
        <v>1.02</v>
      </c>
      <c r="AA21" s="244">
        <v>1.02</v>
      </c>
      <c r="AB21" s="244">
        <v>1.02</v>
      </c>
      <c r="AC21" s="244">
        <v>1.02</v>
      </c>
      <c r="AD21" s="244">
        <v>1.02</v>
      </c>
      <c r="AE21" s="244">
        <v>1.02</v>
      </c>
      <c r="AF21" s="244">
        <v>1.02</v>
      </c>
      <c r="AG21" s="244">
        <v>1.02</v>
      </c>
      <c r="AH21" s="244">
        <v>1.02</v>
      </c>
      <c r="AI21" s="244">
        <v>1.02</v>
      </c>
      <c r="AJ21" s="244">
        <v>1.02</v>
      </c>
      <c r="AK21" s="244">
        <v>1.02</v>
      </c>
      <c r="AL21" s="244">
        <v>1.02</v>
      </c>
      <c r="AM21" s="244">
        <v>1.02</v>
      </c>
    </row>
    <row r="22" spans="3:40" s="266" customFormat="1" ht="19" thickBot="1" x14ac:dyDescent="0.5">
      <c r="D22" s="286" t="s">
        <v>247</v>
      </c>
      <c r="E22" s="286" t="s">
        <v>247</v>
      </c>
      <c r="F22" s="286" t="s">
        <v>247</v>
      </c>
      <c r="G22" s="286" t="s">
        <v>247</v>
      </c>
      <c r="H22" s="286" t="s">
        <v>247</v>
      </c>
      <c r="I22" s="267">
        <v>2024</v>
      </c>
      <c r="J22" s="287">
        <v>2025</v>
      </c>
      <c r="K22" s="287">
        <f>J22+1</f>
        <v>2026</v>
      </c>
      <c r="L22" s="287">
        <f t="shared" ref="L22:AM22" si="12">K22+1</f>
        <v>2027</v>
      </c>
      <c r="M22" s="287">
        <f t="shared" si="12"/>
        <v>2028</v>
      </c>
      <c r="N22" s="287">
        <f t="shared" si="12"/>
        <v>2029</v>
      </c>
      <c r="O22" s="287">
        <f t="shared" si="12"/>
        <v>2030</v>
      </c>
      <c r="P22" s="287">
        <f t="shared" si="12"/>
        <v>2031</v>
      </c>
      <c r="Q22" s="287">
        <f t="shared" si="12"/>
        <v>2032</v>
      </c>
      <c r="R22" s="287">
        <f t="shared" si="12"/>
        <v>2033</v>
      </c>
      <c r="S22" s="287">
        <f t="shared" si="12"/>
        <v>2034</v>
      </c>
      <c r="T22" s="287">
        <f t="shared" si="12"/>
        <v>2035</v>
      </c>
      <c r="U22" s="287">
        <f t="shared" si="12"/>
        <v>2036</v>
      </c>
      <c r="V22" s="287">
        <f t="shared" si="12"/>
        <v>2037</v>
      </c>
      <c r="W22" s="287">
        <f t="shared" si="12"/>
        <v>2038</v>
      </c>
      <c r="X22" s="287">
        <f t="shared" si="12"/>
        <v>2039</v>
      </c>
      <c r="Y22" s="287">
        <f t="shared" si="12"/>
        <v>2040</v>
      </c>
      <c r="Z22" s="287">
        <f t="shared" si="12"/>
        <v>2041</v>
      </c>
      <c r="AA22" s="287">
        <f t="shared" si="12"/>
        <v>2042</v>
      </c>
      <c r="AB22" s="287">
        <f t="shared" si="12"/>
        <v>2043</v>
      </c>
      <c r="AC22" s="287">
        <f t="shared" si="12"/>
        <v>2044</v>
      </c>
      <c r="AD22" s="287">
        <f t="shared" si="12"/>
        <v>2045</v>
      </c>
      <c r="AE22" s="287">
        <f t="shared" si="12"/>
        <v>2046</v>
      </c>
      <c r="AF22" s="287">
        <f t="shared" si="12"/>
        <v>2047</v>
      </c>
      <c r="AG22" s="287">
        <f t="shared" si="12"/>
        <v>2048</v>
      </c>
      <c r="AH22" s="287">
        <f t="shared" si="12"/>
        <v>2049</v>
      </c>
      <c r="AI22" s="287">
        <f t="shared" si="12"/>
        <v>2050</v>
      </c>
      <c r="AJ22" s="287">
        <f t="shared" si="12"/>
        <v>2051</v>
      </c>
      <c r="AK22" s="287">
        <f t="shared" si="12"/>
        <v>2052</v>
      </c>
      <c r="AL22" s="287">
        <f t="shared" si="12"/>
        <v>2053</v>
      </c>
      <c r="AM22" s="287">
        <f t="shared" si="12"/>
        <v>2054</v>
      </c>
      <c r="AN22" s="267"/>
    </row>
    <row r="23" spans="3:40" s="339" customFormat="1" x14ac:dyDescent="0.45">
      <c r="C23" s="350" t="str">
        <f>C8</f>
        <v>Trash Chute Doors - done when req. as Bldg Maint.</v>
      </c>
      <c r="D23" s="334">
        <f t="shared" ref="D23:D31" si="13">2024+L8</f>
        <v>2034</v>
      </c>
      <c r="E23" s="335">
        <f t="shared" ref="E23:E30" si="14">D23+K8</f>
        <v>2064</v>
      </c>
      <c r="F23" s="335">
        <f t="shared" ref="F23:F30" si="15">E23+K8</f>
        <v>2094</v>
      </c>
      <c r="G23" s="335">
        <f t="shared" ref="G23:G30" si="16">F23+K8</f>
        <v>2124</v>
      </c>
      <c r="H23" s="335">
        <f t="shared" ref="H23:H30" si="17">G23+K8</f>
        <v>2154</v>
      </c>
      <c r="I23" s="336">
        <f>J8</f>
        <v>1500</v>
      </c>
      <c r="J23" s="336">
        <f>I23*J21</f>
        <v>1530</v>
      </c>
      <c r="K23" s="336">
        <f>J23*K21</f>
        <v>1560.6000000000001</v>
      </c>
      <c r="L23" s="336">
        <f>K23*L21</f>
        <v>1591.8120000000001</v>
      </c>
      <c r="M23" s="336">
        <f>L23*M21</f>
        <v>1623.6482400000002</v>
      </c>
      <c r="N23" s="336">
        <f t="shared" ref="N23:AM23" si="18">M23*N21</f>
        <v>1656.1212048000002</v>
      </c>
      <c r="O23" s="336">
        <f>N23*O21</f>
        <v>1689.2436288960002</v>
      </c>
      <c r="P23" s="336">
        <f t="shared" si="18"/>
        <v>1723.0285014739202</v>
      </c>
      <c r="Q23" s="336">
        <f t="shared" si="18"/>
        <v>1757.4890715033987</v>
      </c>
      <c r="R23" s="336">
        <f>Q23*R21</f>
        <v>1792.6388529334668</v>
      </c>
      <c r="S23" s="337">
        <f t="shared" si="18"/>
        <v>1828.491629992136</v>
      </c>
      <c r="T23" s="336">
        <f t="shared" si="18"/>
        <v>1865.0614625919789</v>
      </c>
      <c r="U23" s="336">
        <f t="shared" si="18"/>
        <v>1902.3626918438185</v>
      </c>
      <c r="V23" s="336">
        <f t="shared" si="18"/>
        <v>1940.409945680695</v>
      </c>
      <c r="W23" s="336">
        <f t="shared" si="18"/>
        <v>1979.218144594309</v>
      </c>
      <c r="X23" s="336">
        <f t="shared" si="18"/>
        <v>2018.8025074861953</v>
      </c>
      <c r="Y23" s="336">
        <f t="shared" si="18"/>
        <v>2059.1785576359193</v>
      </c>
      <c r="Z23" s="336">
        <f t="shared" si="18"/>
        <v>2100.3621287886376</v>
      </c>
      <c r="AA23" s="336">
        <f>Z23*AA21</f>
        <v>2142.3693713644102</v>
      </c>
      <c r="AB23" s="336">
        <f t="shared" si="18"/>
        <v>2185.2167587916983</v>
      </c>
      <c r="AC23" s="336">
        <f t="shared" si="18"/>
        <v>2228.9210939675322</v>
      </c>
      <c r="AD23" s="336">
        <f t="shared" si="18"/>
        <v>2273.4995158468828</v>
      </c>
      <c r="AE23" s="336">
        <f t="shared" si="18"/>
        <v>2318.9695061638204</v>
      </c>
      <c r="AF23" s="336">
        <f t="shared" si="18"/>
        <v>2365.348896287097</v>
      </c>
      <c r="AG23" s="336">
        <f t="shared" si="18"/>
        <v>2412.6558742128391</v>
      </c>
      <c r="AH23" s="336">
        <f t="shared" si="18"/>
        <v>2460.9089916970961</v>
      </c>
      <c r="AI23" s="336">
        <f t="shared" si="18"/>
        <v>2510.1271715310381</v>
      </c>
      <c r="AJ23" s="336">
        <f t="shared" si="18"/>
        <v>2560.3297149616587</v>
      </c>
      <c r="AK23" s="336">
        <f t="shared" si="18"/>
        <v>2611.5363092608918</v>
      </c>
      <c r="AL23" s="336">
        <f t="shared" si="18"/>
        <v>2663.7670354461097</v>
      </c>
      <c r="AM23" s="336">
        <f t="shared" si="18"/>
        <v>2717.0423761550319</v>
      </c>
      <c r="AN23" s="338"/>
    </row>
    <row r="24" spans="3:40" x14ac:dyDescent="0.45">
      <c r="C24" s="269" t="str">
        <f t="shared" ref="C24:C31" si="19">C9</f>
        <v>Gutters and Downspouts, Aluminum -50% replace</v>
      </c>
      <c r="D24" s="288">
        <f t="shared" si="13"/>
        <v>2046</v>
      </c>
      <c r="E24" s="289">
        <f t="shared" si="14"/>
        <v>2076</v>
      </c>
      <c r="F24" s="289">
        <f t="shared" si="15"/>
        <v>2106</v>
      </c>
      <c r="G24" s="289">
        <f t="shared" si="16"/>
        <v>2136</v>
      </c>
      <c r="H24" s="289">
        <f t="shared" si="17"/>
        <v>2166</v>
      </c>
      <c r="I24" s="290">
        <f t="shared" ref="I24:I31" si="20">J9</f>
        <v>2200</v>
      </c>
      <c r="J24" s="290">
        <f t="shared" ref="J24:AM31" si="21">I24*J$21</f>
        <v>2244</v>
      </c>
      <c r="K24" s="290">
        <f t="shared" si="21"/>
        <v>2288.88</v>
      </c>
      <c r="L24" s="290">
        <f t="shared" si="21"/>
        <v>2334.6576</v>
      </c>
      <c r="M24" s="290">
        <f t="shared" si="21"/>
        <v>2381.3507519999998</v>
      </c>
      <c r="N24" s="290">
        <f t="shared" si="21"/>
        <v>2428.9777670399999</v>
      </c>
      <c r="O24" s="290">
        <f t="shared" si="21"/>
        <v>2477.5573223808001</v>
      </c>
      <c r="P24" s="290">
        <f t="shared" si="21"/>
        <v>2527.1084688284163</v>
      </c>
      <c r="Q24" s="290">
        <f t="shared" si="21"/>
        <v>2577.6506382049847</v>
      </c>
      <c r="R24" s="290">
        <f t="shared" si="21"/>
        <v>2629.2036509690843</v>
      </c>
      <c r="S24" s="290">
        <f t="shared" si="21"/>
        <v>2681.787723988466</v>
      </c>
      <c r="T24" s="290">
        <f t="shared" si="21"/>
        <v>2735.4234784682353</v>
      </c>
      <c r="U24" s="290">
        <f t="shared" si="21"/>
        <v>2790.1319480376001</v>
      </c>
      <c r="V24" s="290">
        <f t="shared" si="21"/>
        <v>2845.9345869983522</v>
      </c>
      <c r="W24" s="290">
        <f t="shared" si="21"/>
        <v>2902.8532787383192</v>
      </c>
      <c r="X24" s="290">
        <f t="shared" si="21"/>
        <v>2960.9103443130857</v>
      </c>
      <c r="Y24" s="290">
        <f t="shared" si="21"/>
        <v>3020.1285511993474</v>
      </c>
      <c r="Z24" s="290">
        <f t="shared" si="21"/>
        <v>3080.5311222233345</v>
      </c>
      <c r="AA24" s="290">
        <f t="shared" si="21"/>
        <v>3142.141744667801</v>
      </c>
      <c r="AB24" s="290">
        <f t="shared" si="21"/>
        <v>3204.9845795611573</v>
      </c>
      <c r="AC24" s="290">
        <f t="shared" si="21"/>
        <v>3269.0842711523806</v>
      </c>
      <c r="AD24" s="290">
        <f t="shared" si="21"/>
        <v>3334.4659565754282</v>
      </c>
      <c r="AE24" s="291">
        <f t="shared" si="21"/>
        <v>3401.1552757069367</v>
      </c>
      <c r="AF24" s="290">
        <f t="shared" si="21"/>
        <v>3469.1783812210756</v>
      </c>
      <c r="AG24" s="290">
        <f t="shared" si="21"/>
        <v>3538.5619488454972</v>
      </c>
      <c r="AH24" s="290">
        <f t="shared" si="21"/>
        <v>3609.3331878224071</v>
      </c>
      <c r="AI24" s="290">
        <f t="shared" si="21"/>
        <v>3681.5198515788552</v>
      </c>
      <c r="AJ24" s="290">
        <f t="shared" si="21"/>
        <v>3755.1502486104323</v>
      </c>
      <c r="AK24" s="290">
        <f t="shared" si="21"/>
        <v>3830.2532535826408</v>
      </c>
      <c r="AL24" s="290">
        <f t="shared" si="21"/>
        <v>3906.8583186542937</v>
      </c>
      <c r="AM24" s="290">
        <f t="shared" si="21"/>
        <v>3984.9954850273798</v>
      </c>
    </row>
    <row r="25" spans="3:40" x14ac:dyDescent="0.45">
      <c r="C25" s="269" t="str">
        <f t="shared" si="19"/>
        <v>Light Fixtures, Exterior</v>
      </c>
      <c r="D25" s="288">
        <f t="shared" si="13"/>
        <v>2033</v>
      </c>
      <c r="E25" s="288">
        <f t="shared" si="14"/>
        <v>2053</v>
      </c>
      <c r="F25" s="289">
        <f t="shared" si="15"/>
        <v>2073</v>
      </c>
      <c r="G25" s="289">
        <f t="shared" si="16"/>
        <v>2093</v>
      </c>
      <c r="H25" s="289">
        <f t="shared" si="17"/>
        <v>2113</v>
      </c>
      <c r="I25" s="290">
        <f t="shared" si="20"/>
        <v>4800</v>
      </c>
      <c r="J25" s="290">
        <f t="shared" si="21"/>
        <v>4896</v>
      </c>
      <c r="K25" s="290">
        <f t="shared" si="21"/>
        <v>4993.92</v>
      </c>
      <c r="L25" s="290">
        <f t="shared" si="21"/>
        <v>5093.7984000000006</v>
      </c>
      <c r="M25" s="290">
        <f t="shared" si="21"/>
        <v>5195.6743680000009</v>
      </c>
      <c r="N25" s="290">
        <f t="shared" si="21"/>
        <v>5299.5878553600014</v>
      </c>
      <c r="O25" s="290">
        <f t="shared" si="21"/>
        <v>5405.5796124672015</v>
      </c>
      <c r="P25" s="290">
        <f t="shared" si="21"/>
        <v>5513.6912047165461</v>
      </c>
      <c r="Q25" s="290">
        <f t="shared" si="21"/>
        <v>5623.9650288108769</v>
      </c>
      <c r="R25" s="291">
        <f t="shared" si="21"/>
        <v>5736.4443293870945</v>
      </c>
      <c r="S25" s="290">
        <f t="shared" si="21"/>
        <v>5851.1732159748362</v>
      </c>
      <c r="T25" s="290">
        <f t="shared" si="21"/>
        <v>5968.1966802943334</v>
      </c>
      <c r="U25" s="290">
        <f t="shared" si="21"/>
        <v>6087.5606139002202</v>
      </c>
      <c r="V25" s="290">
        <f t="shared" si="21"/>
        <v>6209.3118261782247</v>
      </c>
      <c r="W25" s="290">
        <f t="shared" si="21"/>
        <v>6333.4980627017894</v>
      </c>
      <c r="X25" s="290">
        <f t="shared" si="21"/>
        <v>6460.1680239558254</v>
      </c>
      <c r="Y25" s="290">
        <f t="shared" si="21"/>
        <v>6589.3713844349422</v>
      </c>
      <c r="Z25" s="290">
        <f t="shared" si="21"/>
        <v>6721.1588121236409</v>
      </c>
      <c r="AA25" s="290">
        <f t="shared" si="21"/>
        <v>6855.5819883661143</v>
      </c>
      <c r="AB25" s="290">
        <f t="shared" si="21"/>
        <v>6992.6936281334365</v>
      </c>
      <c r="AC25" s="290">
        <f t="shared" si="21"/>
        <v>7132.5475006961051</v>
      </c>
      <c r="AD25" s="290">
        <f t="shared" si="21"/>
        <v>7275.1984507100269</v>
      </c>
      <c r="AE25" s="290">
        <f t="shared" si="21"/>
        <v>7420.7024197242272</v>
      </c>
      <c r="AF25" s="290">
        <f t="shared" si="21"/>
        <v>7569.116468118712</v>
      </c>
      <c r="AG25" s="290">
        <f t="shared" si="21"/>
        <v>7720.4987974810865</v>
      </c>
      <c r="AH25" s="290">
        <f t="shared" si="21"/>
        <v>7874.9087734307086</v>
      </c>
      <c r="AI25" s="290">
        <f t="shared" si="21"/>
        <v>8032.4069488993227</v>
      </c>
      <c r="AJ25" s="290">
        <f t="shared" si="21"/>
        <v>8193.0550878773101</v>
      </c>
      <c r="AK25" s="290">
        <f t="shared" si="21"/>
        <v>8356.916189634856</v>
      </c>
      <c r="AL25" s="291">
        <f t="shared" si="21"/>
        <v>8524.0545134275526</v>
      </c>
      <c r="AM25" s="290">
        <f t="shared" si="21"/>
        <v>8694.5356036961039</v>
      </c>
    </row>
    <row r="26" spans="3:40" x14ac:dyDescent="0.45">
      <c r="C26" s="269" t="str">
        <f t="shared" si="19"/>
        <v>Mailboxes</v>
      </c>
      <c r="D26" s="288">
        <f t="shared" si="13"/>
        <v>2030</v>
      </c>
      <c r="E26" s="289">
        <f t="shared" si="14"/>
        <v>2070</v>
      </c>
      <c r="F26" s="289">
        <f t="shared" si="15"/>
        <v>2110</v>
      </c>
      <c r="G26" s="288">
        <f t="shared" si="16"/>
        <v>2150</v>
      </c>
      <c r="H26" s="289">
        <f t="shared" si="17"/>
        <v>2190</v>
      </c>
      <c r="I26" s="290">
        <f t="shared" si="20"/>
        <v>3080</v>
      </c>
      <c r="J26" s="290">
        <f t="shared" si="21"/>
        <v>3141.6</v>
      </c>
      <c r="K26" s="290">
        <f t="shared" si="21"/>
        <v>3204.4319999999998</v>
      </c>
      <c r="L26" s="290">
        <f t="shared" si="21"/>
        <v>3268.5206399999997</v>
      </c>
      <c r="M26" s="290">
        <f t="shared" si="21"/>
        <v>3333.8910527999997</v>
      </c>
      <c r="N26" s="290">
        <f t="shared" si="21"/>
        <v>3400.5688738559998</v>
      </c>
      <c r="O26" s="291">
        <f t="shared" si="21"/>
        <v>3468.58025133312</v>
      </c>
      <c r="P26" s="290">
        <f t="shared" si="21"/>
        <v>3537.9518563597826</v>
      </c>
      <c r="Q26" s="290">
        <f t="shared" si="21"/>
        <v>3608.7108934869784</v>
      </c>
      <c r="R26" s="290">
        <f t="shared" si="21"/>
        <v>3680.885111356718</v>
      </c>
      <c r="S26" s="290">
        <f t="shared" si="21"/>
        <v>3754.5028135838525</v>
      </c>
      <c r="T26" s="290">
        <f t="shared" si="21"/>
        <v>3829.5928698555294</v>
      </c>
      <c r="U26" s="290">
        <f t="shared" si="21"/>
        <v>3906.1847272526402</v>
      </c>
      <c r="V26" s="290">
        <f t="shared" si="21"/>
        <v>3984.308421797693</v>
      </c>
      <c r="W26" s="290">
        <f t="shared" si="21"/>
        <v>4063.9945902336467</v>
      </c>
      <c r="X26" s="290">
        <f t="shared" si="21"/>
        <v>4145.2744820383195</v>
      </c>
      <c r="Y26" s="290">
        <f t="shared" si="21"/>
        <v>4228.1799716790856</v>
      </c>
      <c r="Z26" s="290">
        <f t="shared" si="21"/>
        <v>4312.7435711126673</v>
      </c>
      <c r="AA26" s="290">
        <f t="shared" si="21"/>
        <v>4398.9984425349203</v>
      </c>
      <c r="AB26" s="290">
        <f t="shared" si="21"/>
        <v>4486.9784113856185</v>
      </c>
      <c r="AC26" s="290">
        <f t="shared" si="21"/>
        <v>4576.7179796133314</v>
      </c>
      <c r="AD26" s="290">
        <f t="shared" si="21"/>
        <v>4668.2523392055982</v>
      </c>
      <c r="AE26" s="290">
        <f t="shared" si="21"/>
        <v>4761.6173859897099</v>
      </c>
      <c r="AF26" s="290">
        <f t="shared" si="21"/>
        <v>4856.8497337095041</v>
      </c>
      <c r="AG26" s="290">
        <f t="shared" si="21"/>
        <v>4953.9867283836938</v>
      </c>
      <c r="AH26" s="290">
        <f t="shared" si="21"/>
        <v>5053.0664629513676</v>
      </c>
      <c r="AI26" s="290">
        <f t="shared" si="21"/>
        <v>5154.1277922103955</v>
      </c>
      <c r="AJ26" s="290">
        <f t="shared" si="21"/>
        <v>5257.2103480546039</v>
      </c>
      <c r="AK26" s="290">
        <f t="shared" si="21"/>
        <v>5362.354555015696</v>
      </c>
      <c r="AL26" s="290">
        <f t="shared" si="21"/>
        <v>5469.6016461160098</v>
      </c>
      <c r="AM26" s="290">
        <f t="shared" si="21"/>
        <v>5578.9936790383299</v>
      </c>
    </row>
    <row r="27" spans="3:40" s="339" customFormat="1" x14ac:dyDescent="0.45">
      <c r="C27" s="350" t="str">
        <f t="shared" si="19"/>
        <v>Sidewalk Repairs - done when req. as Bldg Maint.</v>
      </c>
      <c r="D27" s="334">
        <f t="shared" si="13"/>
        <v>2034</v>
      </c>
      <c r="E27" s="335">
        <f t="shared" si="14"/>
        <v>2084</v>
      </c>
      <c r="F27" s="334">
        <f t="shared" si="15"/>
        <v>2134</v>
      </c>
      <c r="G27" s="335">
        <f t="shared" si="16"/>
        <v>2184</v>
      </c>
      <c r="H27" s="335">
        <f t="shared" si="17"/>
        <v>2234</v>
      </c>
      <c r="I27" s="336">
        <f t="shared" si="20"/>
        <v>3360</v>
      </c>
      <c r="J27" s="336">
        <f t="shared" si="21"/>
        <v>3427.2000000000003</v>
      </c>
      <c r="K27" s="336">
        <f t="shared" si="21"/>
        <v>3495.7440000000001</v>
      </c>
      <c r="L27" s="336">
        <f t="shared" si="21"/>
        <v>3565.6588800000004</v>
      </c>
      <c r="M27" s="336">
        <f t="shared" si="21"/>
        <v>3636.9720576000004</v>
      </c>
      <c r="N27" s="336">
        <f t="shared" si="21"/>
        <v>3709.7114987520004</v>
      </c>
      <c r="O27" s="336">
        <f t="shared" si="21"/>
        <v>3783.9057287270402</v>
      </c>
      <c r="P27" s="336">
        <f t="shared" si="21"/>
        <v>3859.5838433015811</v>
      </c>
      <c r="Q27" s="336">
        <f t="shared" si="21"/>
        <v>3936.7755201676127</v>
      </c>
      <c r="R27" s="336">
        <f t="shared" si="21"/>
        <v>4015.511030570965</v>
      </c>
      <c r="S27" s="337">
        <f t="shared" si="21"/>
        <v>4095.8212511823845</v>
      </c>
      <c r="T27" s="336">
        <f t="shared" si="21"/>
        <v>4177.7376762060321</v>
      </c>
      <c r="U27" s="336">
        <f t="shared" si="21"/>
        <v>4261.2924297301524</v>
      </c>
      <c r="V27" s="336">
        <f t="shared" si="21"/>
        <v>4346.5182783247556</v>
      </c>
      <c r="W27" s="336">
        <f t="shared" si="21"/>
        <v>4433.4486438912509</v>
      </c>
      <c r="X27" s="336">
        <f t="shared" si="21"/>
        <v>4522.1176167690755</v>
      </c>
      <c r="Y27" s="336">
        <f t="shared" si="21"/>
        <v>4612.5599691044572</v>
      </c>
      <c r="Z27" s="336">
        <f t="shared" si="21"/>
        <v>4704.8111684865462</v>
      </c>
      <c r="AA27" s="336">
        <f t="shared" si="21"/>
        <v>4798.9073918562772</v>
      </c>
      <c r="AB27" s="336">
        <f t="shared" si="21"/>
        <v>4894.8855396934032</v>
      </c>
      <c r="AC27" s="336">
        <f t="shared" si="21"/>
        <v>4992.7832504872713</v>
      </c>
      <c r="AD27" s="336">
        <f t="shared" si="21"/>
        <v>5092.6389154970166</v>
      </c>
      <c r="AE27" s="336">
        <f t="shared" si="21"/>
        <v>5194.4916938069573</v>
      </c>
      <c r="AF27" s="336">
        <f t="shared" si="21"/>
        <v>5298.3815276830965</v>
      </c>
      <c r="AG27" s="336">
        <f t="shared" si="21"/>
        <v>5404.3491582367587</v>
      </c>
      <c r="AH27" s="336">
        <f t="shared" si="21"/>
        <v>5512.4361414014938</v>
      </c>
      <c r="AI27" s="336">
        <f t="shared" si="21"/>
        <v>5622.6848642295236</v>
      </c>
      <c r="AJ27" s="336">
        <f t="shared" si="21"/>
        <v>5735.1385615141144</v>
      </c>
      <c r="AK27" s="336">
        <f t="shared" si="21"/>
        <v>5849.8413327443968</v>
      </c>
      <c r="AL27" s="336">
        <f t="shared" si="21"/>
        <v>5966.8381593992845</v>
      </c>
      <c r="AM27" s="336">
        <f t="shared" si="21"/>
        <v>6086.17492258727</v>
      </c>
      <c r="AN27" s="338"/>
    </row>
    <row r="28" spans="3:40" s="339" customFormat="1" x14ac:dyDescent="0.45">
      <c r="C28" s="350" t="str">
        <f t="shared" si="19"/>
        <v>Irrigation System - done when req. as Bldg Maint.</v>
      </c>
      <c r="D28" s="334">
        <f t="shared" si="13"/>
        <v>2037</v>
      </c>
      <c r="E28" s="335">
        <f t="shared" si="14"/>
        <v>2077</v>
      </c>
      <c r="F28" s="335">
        <f t="shared" si="15"/>
        <v>2117</v>
      </c>
      <c r="G28" s="335">
        <f t="shared" si="16"/>
        <v>2157</v>
      </c>
      <c r="H28" s="335">
        <f t="shared" si="17"/>
        <v>2197</v>
      </c>
      <c r="I28" s="336">
        <f t="shared" si="20"/>
        <v>3000</v>
      </c>
      <c r="J28" s="336">
        <f t="shared" si="21"/>
        <v>3060</v>
      </c>
      <c r="K28" s="336">
        <f t="shared" si="21"/>
        <v>3121.2000000000003</v>
      </c>
      <c r="L28" s="336">
        <f t="shared" si="21"/>
        <v>3183.6240000000003</v>
      </c>
      <c r="M28" s="336">
        <f t="shared" si="21"/>
        <v>3247.2964800000004</v>
      </c>
      <c r="N28" s="336">
        <f t="shared" si="21"/>
        <v>3312.2424096000004</v>
      </c>
      <c r="O28" s="336">
        <f t="shared" si="21"/>
        <v>3378.4872577920005</v>
      </c>
      <c r="P28" s="336">
        <f t="shared" si="21"/>
        <v>3446.0570029478404</v>
      </c>
      <c r="Q28" s="336">
        <f t="shared" si="21"/>
        <v>3514.9781430067974</v>
      </c>
      <c r="R28" s="336">
        <f t="shared" si="21"/>
        <v>3585.2777058669335</v>
      </c>
      <c r="S28" s="336">
        <f t="shared" si="21"/>
        <v>3656.9832599842721</v>
      </c>
      <c r="T28" s="336">
        <f t="shared" si="21"/>
        <v>3730.1229251839577</v>
      </c>
      <c r="U28" s="336">
        <f t="shared" si="21"/>
        <v>3804.7253836876371</v>
      </c>
      <c r="V28" s="337">
        <f t="shared" si="21"/>
        <v>3880.8198913613901</v>
      </c>
      <c r="W28" s="336">
        <f t="shared" si="21"/>
        <v>3958.436289188618</v>
      </c>
      <c r="X28" s="336">
        <f t="shared" si="21"/>
        <v>4037.6050149723906</v>
      </c>
      <c r="Y28" s="336">
        <f t="shared" si="21"/>
        <v>4118.3571152718387</v>
      </c>
      <c r="Z28" s="336">
        <f t="shared" si="21"/>
        <v>4200.7242575772752</v>
      </c>
      <c r="AA28" s="336">
        <f t="shared" si="21"/>
        <v>4284.7387427288204</v>
      </c>
      <c r="AB28" s="336">
        <f t="shared" si="21"/>
        <v>4370.4335175833967</v>
      </c>
      <c r="AC28" s="336">
        <f t="shared" si="21"/>
        <v>4457.8421879350644</v>
      </c>
      <c r="AD28" s="336">
        <f t="shared" si="21"/>
        <v>4546.9990316937656</v>
      </c>
      <c r="AE28" s="336">
        <f t="shared" si="21"/>
        <v>4637.9390123276407</v>
      </c>
      <c r="AF28" s="336">
        <f t="shared" si="21"/>
        <v>4730.697792574194</v>
      </c>
      <c r="AG28" s="336">
        <f t="shared" si="21"/>
        <v>4825.3117484256782</v>
      </c>
      <c r="AH28" s="336">
        <f t="shared" si="21"/>
        <v>4921.8179833941922</v>
      </c>
      <c r="AI28" s="336">
        <f t="shared" si="21"/>
        <v>5020.2543430620763</v>
      </c>
      <c r="AJ28" s="336">
        <f t="shared" si="21"/>
        <v>5120.6594299233175</v>
      </c>
      <c r="AK28" s="336">
        <f t="shared" si="21"/>
        <v>5223.0726185217836</v>
      </c>
      <c r="AL28" s="336">
        <f t="shared" si="21"/>
        <v>5327.5340708922195</v>
      </c>
      <c r="AM28" s="336">
        <f t="shared" si="21"/>
        <v>5434.0847523100638</v>
      </c>
      <c r="AN28" s="338"/>
    </row>
    <row r="29" spans="3:40" x14ac:dyDescent="0.45">
      <c r="C29" s="269" t="str">
        <f t="shared" si="19"/>
        <v>Roof Cleaning - 6 year cycle</v>
      </c>
      <c r="D29" s="288">
        <f t="shared" si="13"/>
        <v>2025</v>
      </c>
      <c r="E29" s="288">
        <f t="shared" si="14"/>
        <v>2031</v>
      </c>
      <c r="F29" s="288">
        <f t="shared" si="15"/>
        <v>2037</v>
      </c>
      <c r="G29" s="288">
        <f t="shared" si="16"/>
        <v>2043</v>
      </c>
      <c r="H29" s="288">
        <f t="shared" si="17"/>
        <v>2049</v>
      </c>
      <c r="I29" s="290">
        <f t="shared" si="20"/>
        <v>5075</v>
      </c>
      <c r="J29" s="291">
        <f t="shared" si="21"/>
        <v>5176.5</v>
      </c>
      <c r="K29" s="290">
        <f t="shared" si="21"/>
        <v>5280.03</v>
      </c>
      <c r="L29" s="290">
        <f t="shared" si="21"/>
        <v>5385.6305999999995</v>
      </c>
      <c r="M29" s="290">
        <f t="shared" si="21"/>
        <v>5493.3432119999998</v>
      </c>
      <c r="N29" s="290">
        <f t="shared" si="21"/>
        <v>5603.2100762399996</v>
      </c>
      <c r="O29" s="292">
        <f t="shared" si="21"/>
        <v>5715.2742777648</v>
      </c>
      <c r="P29" s="291">
        <f t="shared" si="21"/>
        <v>5829.5797633200964</v>
      </c>
      <c r="Q29" s="290">
        <f t="shared" si="21"/>
        <v>5946.1713585864982</v>
      </c>
      <c r="R29" s="290">
        <f t="shared" si="21"/>
        <v>6065.0947857582287</v>
      </c>
      <c r="S29" s="290">
        <f t="shared" si="21"/>
        <v>6186.3966814733931</v>
      </c>
      <c r="T29" s="292">
        <f t="shared" si="21"/>
        <v>6310.1246151028608</v>
      </c>
      <c r="U29" s="290">
        <f t="shared" si="21"/>
        <v>6436.327107404918</v>
      </c>
      <c r="V29" s="291">
        <f t="shared" si="21"/>
        <v>6565.0536495530168</v>
      </c>
      <c r="W29" s="290">
        <f t="shared" si="21"/>
        <v>6696.354722544077</v>
      </c>
      <c r="X29" s="290">
        <f t="shared" si="21"/>
        <v>6830.2818169949587</v>
      </c>
      <c r="Y29" s="292">
        <f t="shared" si="21"/>
        <v>6966.887453334858</v>
      </c>
      <c r="Z29" s="290">
        <f t="shared" si="21"/>
        <v>7106.2252024015552</v>
      </c>
      <c r="AA29" s="290">
        <f t="shared" si="21"/>
        <v>7248.3497064495868</v>
      </c>
      <c r="AB29" s="291">
        <f t="shared" si="21"/>
        <v>7393.316700578579</v>
      </c>
      <c r="AC29" s="290">
        <f t="shared" si="21"/>
        <v>7541.1830345901508</v>
      </c>
      <c r="AD29" s="292">
        <f t="shared" si="21"/>
        <v>7692.0066952819543</v>
      </c>
      <c r="AE29" s="290">
        <f t="shared" si="21"/>
        <v>7845.8468291875934</v>
      </c>
      <c r="AF29" s="290">
        <f t="shared" si="21"/>
        <v>8002.7637657713458</v>
      </c>
      <c r="AG29" s="290">
        <f t="shared" si="21"/>
        <v>8162.8190410867728</v>
      </c>
      <c r="AH29" s="291">
        <f t="shared" si="21"/>
        <v>8326.0754219085084</v>
      </c>
      <c r="AI29" s="292">
        <f t="shared" si="21"/>
        <v>8492.5969303466791</v>
      </c>
      <c r="AJ29" s="290">
        <f t="shared" si="21"/>
        <v>8662.448868953612</v>
      </c>
      <c r="AK29" s="290">
        <f t="shared" si="21"/>
        <v>8835.697846332685</v>
      </c>
      <c r="AL29" s="290">
        <f t="shared" si="21"/>
        <v>9012.4118032593396</v>
      </c>
      <c r="AM29" s="290">
        <f t="shared" si="21"/>
        <v>9192.6600393245262</v>
      </c>
    </row>
    <row r="30" spans="3:40" x14ac:dyDescent="0.45">
      <c r="C30" s="269" t="str">
        <f t="shared" si="19"/>
        <v>Paint Walkway - every 5 yr alternate with bldg. paint</v>
      </c>
      <c r="D30" s="288">
        <f t="shared" si="13"/>
        <v>2030</v>
      </c>
      <c r="E30" s="289">
        <f t="shared" si="14"/>
        <v>2035</v>
      </c>
      <c r="F30" s="288">
        <f t="shared" si="15"/>
        <v>2040</v>
      </c>
      <c r="G30" s="289">
        <f t="shared" si="16"/>
        <v>2045</v>
      </c>
      <c r="H30" s="288">
        <f t="shared" si="17"/>
        <v>2050</v>
      </c>
      <c r="I30" s="290">
        <f t="shared" si="20"/>
        <v>4800</v>
      </c>
      <c r="J30" s="290">
        <f t="shared" si="21"/>
        <v>4896</v>
      </c>
      <c r="K30" s="290">
        <f t="shared" si="21"/>
        <v>4993.92</v>
      </c>
      <c r="L30" s="290">
        <f t="shared" si="21"/>
        <v>5093.7984000000006</v>
      </c>
      <c r="M30" s="290">
        <f t="shared" si="21"/>
        <v>5195.6743680000009</v>
      </c>
      <c r="N30" s="290">
        <f t="shared" si="21"/>
        <v>5299.5878553600014</v>
      </c>
      <c r="O30" s="291">
        <f t="shared" si="21"/>
        <v>5405.5796124672015</v>
      </c>
      <c r="P30" s="290">
        <f t="shared" si="21"/>
        <v>5513.6912047165461</v>
      </c>
      <c r="Q30" s="290">
        <f t="shared" si="21"/>
        <v>5623.9650288108769</v>
      </c>
      <c r="R30" s="290">
        <f t="shared" si="21"/>
        <v>5736.4443293870945</v>
      </c>
      <c r="S30" s="290">
        <f t="shared" si="21"/>
        <v>5851.1732159748362</v>
      </c>
      <c r="T30" s="290">
        <f t="shared" si="21"/>
        <v>5968.1966802943334</v>
      </c>
      <c r="U30" s="290">
        <f t="shared" si="21"/>
        <v>6087.5606139002202</v>
      </c>
      <c r="V30" s="290">
        <f t="shared" si="21"/>
        <v>6209.3118261782247</v>
      </c>
      <c r="W30" s="290">
        <f t="shared" si="21"/>
        <v>6333.4980627017894</v>
      </c>
      <c r="X30" s="290">
        <f t="shared" si="21"/>
        <v>6460.1680239558254</v>
      </c>
      <c r="Y30" s="291">
        <f t="shared" si="21"/>
        <v>6589.3713844349422</v>
      </c>
      <c r="Z30" s="290">
        <f t="shared" si="21"/>
        <v>6721.1588121236409</v>
      </c>
      <c r="AA30" s="290">
        <f t="shared" si="21"/>
        <v>6855.5819883661143</v>
      </c>
      <c r="AB30" s="290">
        <f t="shared" si="21"/>
        <v>6992.6936281334365</v>
      </c>
      <c r="AC30" s="290">
        <f t="shared" si="21"/>
        <v>7132.5475006961051</v>
      </c>
      <c r="AD30" s="290">
        <f t="shared" si="21"/>
        <v>7275.1984507100269</v>
      </c>
      <c r="AE30" s="290">
        <f t="shared" si="21"/>
        <v>7420.7024197242272</v>
      </c>
      <c r="AF30" s="290">
        <f t="shared" si="21"/>
        <v>7569.116468118712</v>
      </c>
      <c r="AG30" s="290">
        <f t="shared" si="21"/>
        <v>7720.4987974810865</v>
      </c>
      <c r="AH30" s="290">
        <f t="shared" si="21"/>
        <v>7874.9087734307086</v>
      </c>
      <c r="AI30" s="291">
        <f t="shared" si="21"/>
        <v>8032.4069488993227</v>
      </c>
      <c r="AJ30" s="290">
        <f t="shared" si="21"/>
        <v>8193.0550878773101</v>
      </c>
      <c r="AK30" s="290">
        <f t="shared" si="21"/>
        <v>8356.916189634856</v>
      </c>
      <c r="AL30" s="290">
        <f t="shared" si="21"/>
        <v>8524.0545134275526</v>
      </c>
      <c r="AM30" s="290">
        <f t="shared" si="21"/>
        <v>8694.5356036961039</v>
      </c>
    </row>
    <row r="31" spans="3:40" s="298" customFormat="1" ht="19" thickBot="1" x14ac:dyDescent="0.5">
      <c r="C31" s="269" t="str">
        <f t="shared" si="19"/>
        <v>Common Area Landscape - (4) 5 year phases</v>
      </c>
      <c r="D31" s="293">
        <f t="shared" si="13"/>
        <v>2029</v>
      </c>
      <c r="E31" s="293" t="s">
        <v>248</v>
      </c>
      <c r="F31" s="293" t="s">
        <v>249</v>
      </c>
      <c r="G31" s="293" t="s">
        <v>250</v>
      </c>
      <c r="H31" s="293" t="s">
        <v>251</v>
      </c>
      <c r="I31" s="294">
        <f t="shared" si="20"/>
        <v>3200</v>
      </c>
      <c r="J31" s="294">
        <f>I31*J$21</f>
        <v>3264</v>
      </c>
      <c r="K31" s="294">
        <f t="shared" si="21"/>
        <v>3329.28</v>
      </c>
      <c r="L31" s="294">
        <f t="shared" si="21"/>
        <v>3395.8656000000001</v>
      </c>
      <c r="M31" s="294">
        <f t="shared" si="21"/>
        <v>3463.7829120000001</v>
      </c>
      <c r="N31" s="295">
        <f t="shared" si="21"/>
        <v>3533.0585702400003</v>
      </c>
      <c r="O31" s="294">
        <f t="shared" si="21"/>
        <v>3603.7197416448003</v>
      </c>
      <c r="P31" s="294">
        <f t="shared" si="21"/>
        <v>3675.7941364776962</v>
      </c>
      <c r="Q31" s="294">
        <f t="shared" si="21"/>
        <v>3749.3100192072502</v>
      </c>
      <c r="R31" s="294">
        <f t="shared" si="21"/>
        <v>3824.2962195913951</v>
      </c>
      <c r="S31" s="295">
        <f t="shared" si="21"/>
        <v>3900.7821439832232</v>
      </c>
      <c r="T31" s="294">
        <f t="shared" si="21"/>
        <v>3978.7977868628877</v>
      </c>
      <c r="U31" s="294">
        <f t="shared" si="21"/>
        <v>4058.3737426001458</v>
      </c>
      <c r="V31" s="294">
        <f t="shared" si="21"/>
        <v>4139.5412174521489</v>
      </c>
      <c r="W31" s="294">
        <f t="shared" si="21"/>
        <v>4222.3320418011917</v>
      </c>
      <c r="X31" s="295">
        <f t="shared" si="21"/>
        <v>4306.7786826372158</v>
      </c>
      <c r="Y31" s="294">
        <f t="shared" si="21"/>
        <v>4392.9142562899606</v>
      </c>
      <c r="Z31" s="294">
        <f t="shared" si="21"/>
        <v>4480.7725414157603</v>
      </c>
      <c r="AA31" s="294">
        <f t="shared" si="21"/>
        <v>4570.3879922440756</v>
      </c>
      <c r="AB31" s="294">
        <f t="shared" si="21"/>
        <v>4661.7957520889568</v>
      </c>
      <c r="AC31" s="295">
        <f t="shared" si="21"/>
        <v>4755.0316671307364</v>
      </c>
      <c r="AD31" s="294">
        <f t="shared" si="21"/>
        <v>4850.1323004733513</v>
      </c>
      <c r="AE31" s="294">
        <f t="shared" si="21"/>
        <v>4947.1349464828181</v>
      </c>
      <c r="AF31" s="294">
        <f t="shared" si="21"/>
        <v>5046.0776454124743</v>
      </c>
      <c r="AG31" s="294">
        <f t="shared" si="21"/>
        <v>5146.9991983207237</v>
      </c>
      <c r="AH31" s="295">
        <f t="shared" si="21"/>
        <v>5249.9391822871385</v>
      </c>
      <c r="AI31" s="294">
        <f t="shared" si="21"/>
        <v>5354.9379659328815</v>
      </c>
      <c r="AJ31" s="294">
        <f t="shared" si="21"/>
        <v>5462.0367252515389</v>
      </c>
      <c r="AK31" s="294">
        <f t="shared" si="21"/>
        <v>5571.2774597565694</v>
      </c>
      <c r="AL31" s="296">
        <f t="shared" si="21"/>
        <v>5682.7030089517011</v>
      </c>
      <c r="AM31" s="295">
        <f>5720</f>
        <v>5720</v>
      </c>
      <c r="AN31" s="297"/>
    </row>
    <row r="32" spans="3:40" s="299" customFormat="1" x14ac:dyDescent="0.45">
      <c r="D32" s="300"/>
      <c r="E32" s="300"/>
      <c r="F32" s="300"/>
      <c r="G32" s="301"/>
      <c r="H32" s="301"/>
      <c r="I32" s="301" t="s">
        <v>252</v>
      </c>
      <c r="J32" s="301">
        <f>-J29</f>
        <v>-5176.5</v>
      </c>
      <c r="K32" s="301">
        <v>0</v>
      </c>
      <c r="L32" s="301">
        <v>0</v>
      </c>
      <c r="M32" s="301">
        <v>0</v>
      </c>
      <c r="N32" s="301">
        <f>-N31</f>
        <v>-3533.0585702400003</v>
      </c>
      <c r="O32" s="301">
        <f>-O30-O26</f>
        <v>-8874.1598638003215</v>
      </c>
      <c r="P32" s="301">
        <f>-P29</f>
        <v>-5829.5797633200964</v>
      </c>
      <c r="Q32" s="301">
        <v>0</v>
      </c>
      <c r="R32" s="301">
        <f>-R25</f>
        <v>-5736.4443293870945</v>
      </c>
      <c r="S32" s="301">
        <f>-S31</f>
        <v>-3900.7821439832232</v>
      </c>
      <c r="T32" s="301">
        <v>0</v>
      </c>
      <c r="U32" s="301">
        <v>0</v>
      </c>
      <c r="V32" s="301">
        <f>-V29</f>
        <v>-6565.0536495530168</v>
      </c>
      <c r="W32" s="301">
        <v>0</v>
      </c>
      <c r="X32" s="301">
        <f>-X31</f>
        <v>-4306.7786826372158</v>
      </c>
      <c r="Y32" s="301">
        <f>-Y30</f>
        <v>-6589.3713844349422</v>
      </c>
      <c r="Z32" s="301">
        <v>0</v>
      </c>
      <c r="AA32" s="301">
        <f>0</f>
        <v>0</v>
      </c>
      <c r="AB32" s="301">
        <f>-AB29</f>
        <v>-7393.316700578579</v>
      </c>
      <c r="AC32" s="301">
        <f>-AC31</f>
        <v>-4755.0316671307364</v>
      </c>
      <c r="AD32" s="301">
        <v>0</v>
      </c>
      <c r="AE32" s="301">
        <f>-AE24</f>
        <v>-3401.1552757069367</v>
      </c>
      <c r="AF32" s="301">
        <v>0</v>
      </c>
      <c r="AG32" s="301">
        <v>0</v>
      </c>
      <c r="AH32" s="301">
        <f>-(AH31+AH29)</f>
        <v>-13576.014604195647</v>
      </c>
      <c r="AI32" s="302">
        <f>-AI30</f>
        <v>-8032.4069488993227</v>
      </c>
      <c r="AJ32" s="301">
        <v>0</v>
      </c>
      <c r="AK32" s="301">
        <v>0</v>
      </c>
      <c r="AL32" s="302">
        <f>-AL25</f>
        <v>-8524.0545134275526</v>
      </c>
      <c r="AM32" s="301">
        <f>-AM31</f>
        <v>-5720</v>
      </c>
      <c r="AN32" s="301">
        <f>SUM(J32:AM32)</f>
        <v>-101913.7080972947</v>
      </c>
    </row>
    <row r="33" spans="3:40" ht="21" x14ac:dyDescent="0.5">
      <c r="E33" s="243"/>
      <c r="F33" s="243"/>
      <c r="H33" s="244"/>
      <c r="I33" s="246" t="s">
        <v>253</v>
      </c>
      <c r="J33" s="303"/>
      <c r="N33" s="244"/>
      <c r="O33" s="244"/>
    </row>
    <row r="34" spans="3:40" ht="19" thickBot="1" x14ac:dyDescent="0.5">
      <c r="F34" s="304"/>
      <c r="G34" s="305"/>
      <c r="H34" s="306"/>
      <c r="I34" s="307">
        <v>2024</v>
      </c>
      <c r="J34" s="307">
        <v>2025</v>
      </c>
      <c r="K34" s="307">
        <v>2026</v>
      </c>
      <c r="L34" s="307">
        <v>2027</v>
      </c>
      <c r="M34" s="307">
        <v>2028</v>
      </c>
      <c r="N34" s="307">
        <v>2029</v>
      </c>
      <c r="O34" s="307">
        <v>2030</v>
      </c>
      <c r="P34" s="307">
        <v>2031</v>
      </c>
      <c r="Q34" s="307">
        <v>2032</v>
      </c>
      <c r="R34" s="307">
        <v>2033</v>
      </c>
      <c r="S34" s="307">
        <v>2034</v>
      </c>
      <c r="T34" s="307">
        <v>2035</v>
      </c>
      <c r="U34" s="307">
        <v>2036</v>
      </c>
      <c r="V34" s="307">
        <v>2037</v>
      </c>
      <c r="W34" s="307">
        <v>2038</v>
      </c>
      <c r="X34" s="307">
        <v>2039</v>
      </c>
      <c r="Y34" s="307">
        <v>2040</v>
      </c>
      <c r="Z34" s="307">
        <v>2041</v>
      </c>
      <c r="AA34" s="307">
        <v>2042</v>
      </c>
      <c r="AB34" s="307">
        <v>2043</v>
      </c>
      <c r="AC34" s="307">
        <v>2044</v>
      </c>
      <c r="AD34" s="307">
        <v>2045</v>
      </c>
      <c r="AE34" s="307">
        <v>2046</v>
      </c>
      <c r="AF34" s="307">
        <v>2047</v>
      </c>
      <c r="AG34" s="307">
        <v>2048</v>
      </c>
      <c r="AH34" s="307">
        <v>2049</v>
      </c>
      <c r="AI34" s="307">
        <v>2050</v>
      </c>
      <c r="AJ34" s="307">
        <v>2051</v>
      </c>
      <c r="AK34" s="307">
        <v>2052</v>
      </c>
      <c r="AL34" s="307">
        <v>2053</v>
      </c>
      <c r="AM34" s="307">
        <v>2054</v>
      </c>
    </row>
    <row r="35" spans="3:40" ht="19" thickBot="1" x14ac:dyDescent="0.5">
      <c r="E35" s="308"/>
      <c r="F35" s="357"/>
      <c r="G35" s="309"/>
      <c r="H35" s="358" t="s">
        <v>267</v>
      </c>
      <c r="I35" s="355">
        <v>15000</v>
      </c>
      <c r="J35" s="310">
        <f>I39</f>
        <v>15000</v>
      </c>
      <c r="K35" s="311">
        <f t="shared" ref="K35:AM35" si="22">J39</f>
        <v>12123.5</v>
      </c>
      <c r="L35" s="311">
        <f t="shared" si="22"/>
        <v>14405.97</v>
      </c>
      <c r="M35" s="311">
        <f t="shared" si="22"/>
        <v>16774.8894</v>
      </c>
      <c r="N35" s="311">
        <f t="shared" si="22"/>
        <v>19232.803188000002</v>
      </c>
      <c r="O35" s="311">
        <f t="shared" si="22"/>
        <v>18249.265001520005</v>
      </c>
      <c r="P35" s="311">
        <f t="shared" si="22"/>
        <v>11948.252044150084</v>
      </c>
      <c r="Q35" s="311">
        <f t="shared" si="22"/>
        <v>8609.9621602409898</v>
      </c>
      <c r="R35" s="311">
        <f t="shared" si="22"/>
        <v>11079.532738744369</v>
      </c>
      <c r="S35" s="311">
        <f t="shared" si="22"/>
        <v>7907.9978261366932</v>
      </c>
      <c r="T35" s="311">
        <f t="shared" si="22"/>
        <v>6555.560775920826</v>
      </c>
      <c r="U35" s="311">
        <f t="shared" si="22"/>
        <v>9124.6608314287569</v>
      </c>
      <c r="V35" s="311">
        <f t="shared" si="22"/>
        <v>11793.902664846637</v>
      </c>
      <c r="W35" s="311">
        <f t="shared" si="22"/>
        <v>8001.2106577156437</v>
      </c>
      <c r="X35" s="311">
        <f t="shared" si="22"/>
        <v>10748.44813177755</v>
      </c>
      <c r="Y35" s="311">
        <f t="shared" si="22"/>
        <v>9295.5959379016294</v>
      </c>
      <c r="Z35" s="311">
        <f t="shared" si="22"/>
        <v>5583.8731488729809</v>
      </c>
      <c r="AA35" s="311">
        <f t="shared" si="22"/>
        <v>8441.1220220316663</v>
      </c>
      <c r="AB35" s="311">
        <f t="shared" si="22"/>
        <v>11410.427300857151</v>
      </c>
      <c r="AC35" s="311">
        <f t="shared" si="22"/>
        <v>7101.811641448262</v>
      </c>
      <c r="AD35" s="311">
        <f t="shared" si="22"/>
        <v>5402.4385522020884</v>
      </c>
      <c r="AE35" s="311">
        <f t="shared" si="22"/>
        <v>8482.3821152028395</v>
      </c>
      <c r="AF35" s="311">
        <f t="shared" si="22"/>
        <v>8282.2071695958039</v>
      </c>
      <c r="AG35" s="311">
        <f t="shared" si="22"/>
        <v>11539.81065453948</v>
      </c>
      <c r="AH35" s="311">
        <f t="shared" si="22"/>
        <v>14924.405396013066</v>
      </c>
      <c r="AI35" s="311">
        <f t="shared" si="22"/>
        <v>4863.7533986881317</v>
      </c>
      <c r="AJ35" s="311">
        <f t="shared" si="22"/>
        <v>209.83350669203355</v>
      </c>
      <c r="AK35" s="311">
        <f t="shared" si="22"/>
        <v>3560.866405533925</v>
      </c>
      <c r="AL35" s="311">
        <f t="shared" si="22"/>
        <v>7045.8566869268161</v>
      </c>
      <c r="AM35" s="311">
        <f t="shared" si="22"/>
        <v>2144.7677195856559</v>
      </c>
    </row>
    <row r="36" spans="3:40" ht="19" thickBot="1" x14ac:dyDescent="0.5">
      <c r="E36" s="312"/>
      <c r="G36" s="356"/>
      <c r="H36" s="359" t="s">
        <v>254</v>
      </c>
      <c r="I36" s="313">
        <v>0</v>
      </c>
      <c r="J36" s="314">
        <v>2000</v>
      </c>
      <c r="K36" s="315">
        <f>J36*J$21</f>
        <v>2040</v>
      </c>
      <c r="L36" s="316">
        <f t="shared" ref="L36:AM36" si="23">K36*K$21</f>
        <v>2080.8000000000002</v>
      </c>
      <c r="M36" s="316">
        <f t="shared" si="23"/>
        <v>2122.4160000000002</v>
      </c>
      <c r="N36" s="316">
        <f t="shared" si="23"/>
        <v>2164.8643200000001</v>
      </c>
      <c r="O36" s="316">
        <f t="shared" si="23"/>
        <v>2208.1616064</v>
      </c>
      <c r="P36" s="316">
        <f t="shared" si="23"/>
        <v>2252.3248385279999</v>
      </c>
      <c r="Q36" s="316">
        <f t="shared" si="23"/>
        <v>2297.3713352985601</v>
      </c>
      <c r="R36" s="316">
        <f t="shared" si="23"/>
        <v>2343.3187620045314</v>
      </c>
      <c r="S36" s="316">
        <f t="shared" si="23"/>
        <v>2390.1851372446222</v>
      </c>
      <c r="T36" s="316">
        <f t="shared" si="23"/>
        <v>2437.9888399895149</v>
      </c>
      <c r="U36" s="316">
        <f t="shared" si="23"/>
        <v>2486.7486167893053</v>
      </c>
      <c r="V36" s="316">
        <f t="shared" si="23"/>
        <v>2536.4835891250914</v>
      </c>
      <c r="W36" s="316">
        <f t="shared" si="23"/>
        <v>2587.2132609075934</v>
      </c>
      <c r="X36" s="316">
        <f t="shared" si="23"/>
        <v>2638.9575261257455</v>
      </c>
      <c r="Y36" s="316">
        <f t="shared" si="23"/>
        <v>2691.7366766482605</v>
      </c>
      <c r="Z36" s="316">
        <f t="shared" si="23"/>
        <v>2745.5714101812259</v>
      </c>
      <c r="AA36" s="316">
        <f t="shared" si="23"/>
        <v>2800.4828383848503</v>
      </c>
      <c r="AB36" s="316">
        <f t="shared" si="23"/>
        <v>2856.4924951525472</v>
      </c>
      <c r="AC36" s="316">
        <f t="shared" si="23"/>
        <v>2913.6223450555981</v>
      </c>
      <c r="AD36" s="316">
        <f t="shared" si="23"/>
        <v>2971.8947919567099</v>
      </c>
      <c r="AE36" s="316">
        <f t="shared" si="23"/>
        <v>3031.3326877958443</v>
      </c>
      <c r="AF36" s="316">
        <f t="shared" si="23"/>
        <v>3091.9593415517611</v>
      </c>
      <c r="AG36" s="316">
        <f t="shared" si="23"/>
        <v>3153.7985283827966</v>
      </c>
      <c r="AH36" s="316">
        <f t="shared" si="23"/>
        <v>3216.8744989504526</v>
      </c>
      <c r="AI36" s="316">
        <f t="shared" si="23"/>
        <v>3281.2119889294618</v>
      </c>
      <c r="AJ36" s="316">
        <f t="shared" si="23"/>
        <v>3346.8362287080508</v>
      </c>
      <c r="AK36" s="316">
        <f t="shared" si="23"/>
        <v>3413.7729532822118</v>
      </c>
      <c r="AL36" s="316">
        <f t="shared" si="23"/>
        <v>3482.0484123478559</v>
      </c>
      <c r="AM36" s="316">
        <f t="shared" si="23"/>
        <v>3551.689380594813</v>
      </c>
      <c r="AN36" s="317"/>
    </row>
    <row r="37" spans="3:40" x14ac:dyDescent="0.45">
      <c r="C37" s="244"/>
      <c r="E37" s="312"/>
      <c r="G37" s="330" t="s">
        <v>255</v>
      </c>
      <c r="H37" s="318">
        <v>0.02</v>
      </c>
      <c r="I37" s="319">
        <v>0</v>
      </c>
      <c r="J37" s="320">
        <f>J35*0.02</f>
        <v>300</v>
      </c>
      <c r="K37" s="321">
        <f t="shared" ref="K37:AM37" si="24">K35*0.02</f>
        <v>242.47</v>
      </c>
      <c r="L37" s="321">
        <f t="shared" si="24"/>
        <v>288.11939999999998</v>
      </c>
      <c r="M37" s="321">
        <f t="shared" si="24"/>
        <v>335.49778800000001</v>
      </c>
      <c r="N37" s="321">
        <f t="shared" si="24"/>
        <v>384.65606376000005</v>
      </c>
      <c r="O37" s="321">
        <f t="shared" si="24"/>
        <v>364.98530003040008</v>
      </c>
      <c r="P37" s="321">
        <f t="shared" si="24"/>
        <v>238.96504088300168</v>
      </c>
      <c r="Q37" s="321">
        <f t="shared" si="24"/>
        <v>172.19924320481979</v>
      </c>
      <c r="R37" s="321">
        <f t="shared" si="24"/>
        <v>221.59065477488738</v>
      </c>
      <c r="S37" s="321">
        <f t="shared" si="24"/>
        <v>158.15995652273386</v>
      </c>
      <c r="T37" s="321">
        <f t="shared" si="24"/>
        <v>131.11121551841651</v>
      </c>
      <c r="U37" s="321">
        <f t="shared" si="24"/>
        <v>182.49321662857514</v>
      </c>
      <c r="V37" s="321">
        <f t="shared" si="24"/>
        <v>235.87805329693273</v>
      </c>
      <c r="W37" s="321">
        <f t="shared" si="24"/>
        <v>160.02421315431289</v>
      </c>
      <c r="X37" s="321">
        <f t="shared" si="24"/>
        <v>214.96896263555101</v>
      </c>
      <c r="Y37" s="321">
        <f t="shared" si="24"/>
        <v>185.91191875803258</v>
      </c>
      <c r="Z37" s="321">
        <f t="shared" si="24"/>
        <v>111.67746297745963</v>
      </c>
      <c r="AA37" s="321">
        <f t="shared" si="24"/>
        <v>168.82244044063333</v>
      </c>
      <c r="AB37" s="321">
        <f t="shared" si="24"/>
        <v>228.20854601714302</v>
      </c>
      <c r="AC37" s="321">
        <f t="shared" si="24"/>
        <v>142.03623282896524</v>
      </c>
      <c r="AD37" s="321">
        <f t="shared" si="24"/>
        <v>108.04877104404177</v>
      </c>
      <c r="AE37" s="321">
        <f t="shared" si="24"/>
        <v>169.6476423040568</v>
      </c>
      <c r="AF37" s="321">
        <f t="shared" si="24"/>
        <v>165.64414339191609</v>
      </c>
      <c r="AG37" s="321">
        <f t="shared" si="24"/>
        <v>230.79621309078962</v>
      </c>
      <c r="AH37" s="321">
        <f t="shared" si="24"/>
        <v>298.48810792026131</v>
      </c>
      <c r="AI37" s="321">
        <f t="shared" si="24"/>
        <v>97.275067973762631</v>
      </c>
      <c r="AJ37" s="321">
        <f t="shared" si="24"/>
        <v>4.1966701338406711</v>
      </c>
      <c r="AK37" s="321">
        <f t="shared" si="24"/>
        <v>71.217328110678508</v>
      </c>
      <c r="AL37" s="321">
        <f t="shared" si="24"/>
        <v>140.91713373853634</v>
      </c>
      <c r="AM37" s="321">
        <f t="shared" si="24"/>
        <v>42.89535439171312</v>
      </c>
    </row>
    <row r="38" spans="3:40" s="328" customFormat="1" ht="19" thickBot="1" x14ac:dyDescent="0.5">
      <c r="C38" s="322"/>
      <c r="D38" s="323"/>
      <c r="E38" s="324"/>
      <c r="F38" s="360"/>
      <c r="G38" s="325"/>
      <c r="H38" s="361" t="s">
        <v>256</v>
      </c>
      <c r="I38" s="326">
        <v>0</v>
      </c>
      <c r="J38" s="327">
        <f>J32</f>
        <v>-5176.5</v>
      </c>
      <c r="K38" s="327">
        <f t="shared" ref="K38:AM38" si="25">K32</f>
        <v>0</v>
      </c>
      <c r="L38" s="327">
        <f t="shared" si="25"/>
        <v>0</v>
      </c>
      <c r="M38" s="327">
        <f t="shared" si="25"/>
        <v>0</v>
      </c>
      <c r="N38" s="327">
        <f t="shared" si="25"/>
        <v>-3533.0585702400003</v>
      </c>
      <c r="O38" s="327">
        <f t="shared" si="25"/>
        <v>-8874.1598638003215</v>
      </c>
      <c r="P38" s="327">
        <f t="shared" si="25"/>
        <v>-5829.5797633200964</v>
      </c>
      <c r="Q38" s="327">
        <f t="shared" si="25"/>
        <v>0</v>
      </c>
      <c r="R38" s="327">
        <f t="shared" si="25"/>
        <v>-5736.4443293870945</v>
      </c>
      <c r="S38" s="327">
        <f t="shared" si="25"/>
        <v>-3900.7821439832232</v>
      </c>
      <c r="T38" s="327">
        <f t="shared" si="25"/>
        <v>0</v>
      </c>
      <c r="U38" s="327">
        <f t="shared" si="25"/>
        <v>0</v>
      </c>
      <c r="V38" s="327">
        <f t="shared" si="25"/>
        <v>-6565.0536495530168</v>
      </c>
      <c r="W38" s="327">
        <f t="shared" si="25"/>
        <v>0</v>
      </c>
      <c r="X38" s="327">
        <f t="shared" si="25"/>
        <v>-4306.7786826372158</v>
      </c>
      <c r="Y38" s="327">
        <f t="shared" si="25"/>
        <v>-6589.3713844349422</v>
      </c>
      <c r="Z38" s="327">
        <f t="shared" si="25"/>
        <v>0</v>
      </c>
      <c r="AA38" s="327">
        <f t="shared" si="25"/>
        <v>0</v>
      </c>
      <c r="AB38" s="327">
        <f t="shared" si="25"/>
        <v>-7393.316700578579</v>
      </c>
      <c r="AC38" s="327">
        <f t="shared" si="25"/>
        <v>-4755.0316671307364</v>
      </c>
      <c r="AD38" s="327">
        <f t="shared" si="25"/>
        <v>0</v>
      </c>
      <c r="AE38" s="327">
        <f t="shared" si="25"/>
        <v>-3401.1552757069367</v>
      </c>
      <c r="AF38" s="327">
        <f t="shared" si="25"/>
        <v>0</v>
      </c>
      <c r="AG38" s="327">
        <f t="shared" si="25"/>
        <v>0</v>
      </c>
      <c r="AH38" s="327">
        <f t="shared" si="25"/>
        <v>-13576.014604195647</v>
      </c>
      <c r="AI38" s="327">
        <f t="shared" si="25"/>
        <v>-8032.4069488993227</v>
      </c>
      <c r="AJ38" s="327">
        <f t="shared" si="25"/>
        <v>0</v>
      </c>
      <c r="AK38" s="327">
        <f t="shared" si="25"/>
        <v>0</v>
      </c>
      <c r="AL38" s="327">
        <f t="shared" si="25"/>
        <v>-8524.0545134275526</v>
      </c>
      <c r="AM38" s="327">
        <f t="shared" si="25"/>
        <v>-5720</v>
      </c>
      <c r="AN38" s="322">
        <f>SUM(I38:AM38)</f>
        <v>-101913.7080972947</v>
      </c>
    </row>
    <row r="39" spans="3:40" x14ac:dyDescent="0.45">
      <c r="C39" s="244"/>
      <c r="G39" s="329"/>
      <c r="H39" s="330" t="s">
        <v>257</v>
      </c>
      <c r="I39" s="331">
        <f>SUM(I35:I38)</f>
        <v>15000</v>
      </c>
      <c r="J39" s="331">
        <f t="shared" ref="J39:P39" si="26">SUM(J35:J38)</f>
        <v>12123.5</v>
      </c>
      <c r="K39" s="331">
        <f t="shared" si="26"/>
        <v>14405.97</v>
      </c>
      <c r="L39" s="331">
        <f t="shared" si="26"/>
        <v>16774.8894</v>
      </c>
      <c r="M39" s="331">
        <f t="shared" si="26"/>
        <v>19232.803188000002</v>
      </c>
      <c r="N39" s="331">
        <f t="shared" si="26"/>
        <v>18249.265001520005</v>
      </c>
      <c r="O39" s="331">
        <f t="shared" si="26"/>
        <v>11948.252044150084</v>
      </c>
      <c r="P39" s="331">
        <f t="shared" si="26"/>
        <v>8609.9621602409898</v>
      </c>
      <c r="Q39" s="331">
        <f>SUM(Q35:Q38)</f>
        <v>11079.532738744369</v>
      </c>
      <c r="R39" s="331">
        <f t="shared" ref="R39:AM39" si="27">SUM(R35:R38)</f>
        <v>7907.9978261366932</v>
      </c>
      <c r="S39" s="331">
        <f t="shared" si="27"/>
        <v>6555.560775920826</v>
      </c>
      <c r="T39" s="331">
        <f t="shared" si="27"/>
        <v>9124.6608314287569</v>
      </c>
      <c r="U39" s="331">
        <f t="shared" si="27"/>
        <v>11793.902664846637</v>
      </c>
      <c r="V39" s="331">
        <f t="shared" si="27"/>
        <v>8001.2106577156437</v>
      </c>
      <c r="W39" s="331">
        <f t="shared" si="27"/>
        <v>10748.44813177755</v>
      </c>
      <c r="X39" s="331">
        <f t="shared" si="27"/>
        <v>9295.5959379016294</v>
      </c>
      <c r="Y39" s="331">
        <f t="shared" si="27"/>
        <v>5583.8731488729809</v>
      </c>
      <c r="Z39" s="331">
        <f t="shared" si="27"/>
        <v>8441.1220220316663</v>
      </c>
      <c r="AA39" s="331">
        <f t="shared" si="27"/>
        <v>11410.427300857151</v>
      </c>
      <c r="AB39" s="331">
        <f t="shared" si="27"/>
        <v>7101.811641448262</v>
      </c>
      <c r="AC39" s="331">
        <f t="shared" si="27"/>
        <v>5402.4385522020884</v>
      </c>
      <c r="AD39" s="331">
        <f t="shared" si="27"/>
        <v>8482.3821152028395</v>
      </c>
      <c r="AE39" s="331">
        <f t="shared" si="27"/>
        <v>8282.2071695958039</v>
      </c>
      <c r="AF39" s="331">
        <f t="shared" si="27"/>
        <v>11539.81065453948</v>
      </c>
      <c r="AG39" s="331">
        <f t="shared" si="27"/>
        <v>14924.405396013066</v>
      </c>
      <c r="AH39" s="331">
        <f t="shared" si="27"/>
        <v>4863.7533986881317</v>
      </c>
      <c r="AI39" s="331">
        <f t="shared" si="27"/>
        <v>209.83350669203355</v>
      </c>
      <c r="AJ39" s="331">
        <f t="shared" si="27"/>
        <v>3560.866405533925</v>
      </c>
      <c r="AK39" s="331">
        <f t="shared" si="27"/>
        <v>7045.8566869268161</v>
      </c>
      <c r="AL39" s="331">
        <f t="shared" si="27"/>
        <v>2144.7677195856559</v>
      </c>
      <c r="AM39" s="331">
        <f t="shared" si="27"/>
        <v>19.352454572182069</v>
      </c>
    </row>
    <row r="40" spans="3:40" x14ac:dyDescent="0.45">
      <c r="C40" s="244"/>
    </row>
    <row r="41" spans="3:40" x14ac:dyDescent="0.45">
      <c r="C41" s="244"/>
    </row>
    <row r="42" spans="3:40" x14ac:dyDescent="0.45">
      <c r="C42" s="244"/>
    </row>
  </sheetData>
  <conditionalFormatting sqref="A4:C5 A6:B6">
    <cfRule type="expression" dxfId="12" priority="12">
      <formula>#REF!="x"</formula>
    </cfRule>
  </conditionalFormatting>
  <conditionalFormatting sqref="A7:C13">
    <cfRule type="expression" dxfId="11" priority="8">
      <formula>#REF!="x"</formula>
    </cfRule>
  </conditionalFormatting>
  <conditionalFormatting sqref="C23:C31">
    <cfRule type="expression" dxfId="10" priority="6">
      <formula>#REF!="x"</formula>
    </cfRule>
  </conditionalFormatting>
  <conditionalFormatting sqref="E8:G13">
    <cfRule type="expression" dxfId="9" priority="9">
      <formula>#REF!="x"</formula>
    </cfRule>
  </conditionalFormatting>
  <conditionalFormatting sqref="E4:I7">
    <cfRule type="expression" dxfId="8" priority="11">
      <formula>#REF!="x"</formula>
    </cfRule>
  </conditionalFormatting>
  <conditionalFormatting sqref="G14:G15">
    <cfRule type="expression" dxfId="7" priority="10">
      <formula>#REF!="x"</formula>
    </cfRule>
  </conditionalFormatting>
  <conditionalFormatting sqref="I8:I13">
    <cfRule type="expression" dxfId="6" priority="7">
      <formula>#REF!="x"</formula>
    </cfRule>
  </conditionalFormatting>
  <conditionalFormatting sqref="J34:K34">
    <cfRule type="expression" dxfId="5" priority="4">
      <formula>#REF!=2</formula>
    </cfRule>
  </conditionalFormatting>
  <conditionalFormatting sqref="J34:L34">
    <cfRule type="expression" dxfId="4" priority="3">
      <formula>#REF!=3</formula>
    </cfRule>
  </conditionalFormatting>
  <conditionalFormatting sqref="J34:M34">
    <cfRule type="expression" dxfId="3" priority="2">
      <formula>#REF!=4</formula>
    </cfRule>
  </conditionalFormatting>
  <conditionalFormatting sqref="J34:N34">
    <cfRule type="expression" dxfId="2" priority="1">
      <formula>#REF!=5</formula>
    </cfRule>
  </conditionalFormatting>
  <conditionalFormatting sqref="K4:L4">
    <cfRule type="expression" dxfId="1" priority="13">
      <formula>#REF!="x"</formula>
    </cfRule>
  </conditionalFormatting>
  <conditionalFormatting sqref="R34:X34">
    <cfRule type="expression" dxfId="0" priority="5">
      <formula>R34="Risk Year"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Operating</vt:lpstr>
      <vt:lpstr>Sheet1</vt:lpstr>
      <vt:lpstr>Reserve Expenditures</vt:lpstr>
      <vt:lpstr>Cash Flow Funding - SIRS</vt:lpstr>
      <vt:lpstr>Cash Flow Funding - NonSIRS</vt:lpstr>
      <vt:lpstr>Operational Reserves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Stuart Wallgren</cp:lastModifiedBy>
  <cp:revision>0</cp:revision>
  <dcterms:created xsi:type="dcterms:W3CDTF">2024-10-18T13:02:11Z</dcterms:created>
  <dcterms:modified xsi:type="dcterms:W3CDTF">2024-11-22T14:36:30Z</dcterms:modified>
</cp:coreProperties>
</file>